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60" windowWidth="10395" windowHeight="11505"/>
  </bookViews>
  <sheets>
    <sheet name="Weekly Pay" sheetId="1" r:id="rId1"/>
    <sheet name="Bi-Weekly Pay" sheetId="2" r:id="rId2"/>
    <sheet name="PA Rates" sheetId="3" r:id="rId3"/>
  </sheets>
  <calcPr calcId="145621"/>
</workbook>
</file>

<file path=xl/calcChain.xml><?xml version="1.0" encoding="utf-8"?>
<calcChain xmlns="http://schemas.openxmlformats.org/spreadsheetml/2006/main">
  <c r="G27" i="2" l="1"/>
  <c r="J52" i="2" s="1"/>
  <c r="L52" i="2" s="1"/>
  <c r="J51" i="2"/>
  <c r="L51" i="2" s="1"/>
  <c r="G33" i="1"/>
  <c r="J58" i="1" s="1"/>
  <c r="L58" i="1" s="1"/>
  <c r="J57" i="1"/>
  <c r="L57" i="1" s="1"/>
  <c r="J49" i="2" l="1"/>
  <c r="L49" i="2" s="1"/>
  <c r="J50" i="2"/>
  <c r="L50" i="2" s="1"/>
  <c r="J51" i="1"/>
  <c r="J55" i="1"/>
  <c r="L55" i="1" s="1"/>
  <c r="J56" i="1"/>
  <c r="L56" i="1" s="1"/>
  <c r="V12" i="2"/>
  <c r="T12" i="2"/>
  <c r="Q12" i="2"/>
  <c r="J12" i="2"/>
  <c r="O12" i="2"/>
  <c r="L12" i="2"/>
  <c r="G12" i="2"/>
  <c r="B36" i="2" l="1"/>
  <c r="B35" i="2" s="1"/>
  <c r="B62" i="1"/>
  <c r="B61" i="1" s="1"/>
  <c r="S15" i="1"/>
  <c r="S16" i="1" s="1"/>
  <c r="S17" i="1" s="1"/>
  <c r="S18" i="1" s="1"/>
  <c r="S19" i="1" s="1"/>
  <c r="S20" i="1" s="1"/>
  <c r="S21" i="1" s="1"/>
  <c r="S22" i="1" s="1"/>
  <c r="S23" i="1" s="1"/>
  <c r="S24" i="1" s="1"/>
  <c r="S25" i="1" s="1"/>
  <c r="S26" i="1" s="1"/>
  <c r="N15" i="1"/>
  <c r="N16" i="1" s="1"/>
  <c r="N17" i="1" s="1"/>
  <c r="N18" i="1" s="1"/>
  <c r="N19" i="1" s="1"/>
  <c r="N20" i="1" s="1"/>
  <c r="N21" i="1" s="1"/>
  <c r="N22" i="1" s="1"/>
  <c r="N23" i="1" s="1"/>
  <c r="N24" i="1" s="1"/>
  <c r="N25" i="1" s="1"/>
  <c r="N26" i="1" s="1"/>
  <c r="I15" i="1"/>
  <c r="I16" i="1" s="1"/>
  <c r="I17" i="1" s="1"/>
  <c r="I18" i="1" s="1"/>
  <c r="I19" i="1" s="1"/>
  <c r="I20" i="1" s="1"/>
  <c r="I21" i="1" s="1"/>
  <c r="I22" i="1" s="1"/>
  <c r="I23" i="1" s="1"/>
  <c r="I24" i="1" s="1"/>
  <c r="I25" i="1" s="1"/>
  <c r="I26" i="1" s="1"/>
  <c r="G14" i="1"/>
  <c r="G15" i="1"/>
  <c r="G16" i="1"/>
  <c r="G17" i="1"/>
  <c r="G18" i="1"/>
  <c r="G19" i="1"/>
  <c r="G20" i="1"/>
  <c r="G21" i="1"/>
  <c r="G22" i="1"/>
  <c r="G23" i="1"/>
  <c r="G24" i="1"/>
  <c r="G25" i="1"/>
  <c r="G26" i="1"/>
  <c r="L14" i="1"/>
  <c r="L15" i="1"/>
  <c r="L16" i="1"/>
  <c r="L17" i="1"/>
  <c r="L18" i="1"/>
  <c r="L19" i="1"/>
  <c r="L20" i="1"/>
  <c r="L21" i="1"/>
  <c r="L22" i="1"/>
  <c r="L23" i="1"/>
  <c r="L24" i="1"/>
  <c r="L25" i="1"/>
  <c r="L26" i="1"/>
  <c r="Q14" i="1"/>
  <c r="Q15" i="1"/>
  <c r="Q16" i="1"/>
  <c r="Q17" i="1"/>
  <c r="Q18" i="1"/>
  <c r="Q19" i="1"/>
  <c r="Q20" i="1"/>
  <c r="Q21" i="1"/>
  <c r="Q22" i="1"/>
  <c r="Q23" i="1"/>
  <c r="Q24" i="1"/>
  <c r="Q25" i="1"/>
  <c r="Q26" i="1"/>
  <c r="V14" i="1"/>
  <c r="V15" i="1"/>
  <c r="V16" i="1"/>
  <c r="V17" i="1"/>
  <c r="V18" i="1"/>
  <c r="V19" i="1"/>
  <c r="V20" i="1"/>
  <c r="V21" i="1"/>
  <c r="V22" i="1"/>
  <c r="V23" i="1"/>
  <c r="V24" i="1"/>
  <c r="V25" i="1"/>
  <c r="V26" i="1"/>
  <c r="G14" i="2"/>
  <c r="G15" i="2"/>
  <c r="G16" i="2"/>
  <c r="G17" i="2"/>
  <c r="G18" i="2"/>
  <c r="G19" i="2"/>
  <c r="G20" i="2"/>
  <c r="L14" i="2"/>
  <c r="L15" i="2"/>
  <c r="L16" i="2"/>
  <c r="L17" i="2"/>
  <c r="L18" i="2"/>
  <c r="L19" i="2"/>
  <c r="L20" i="2"/>
  <c r="Q14" i="2"/>
  <c r="Q15" i="2"/>
  <c r="Q16" i="2"/>
  <c r="Q17" i="2"/>
  <c r="Q18" i="2"/>
  <c r="Q19" i="2"/>
  <c r="Q20" i="2"/>
  <c r="V14" i="2"/>
  <c r="V15" i="2"/>
  <c r="V16" i="2"/>
  <c r="V17" i="2"/>
  <c r="V18" i="2"/>
  <c r="V19" i="2"/>
  <c r="V20" i="2"/>
  <c r="T20" i="2"/>
  <c r="T26" i="1"/>
  <c r="V12" i="1" s="1"/>
  <c r="T25" i="1"/>
  <c r="V22" i="2" l="1"/>
  <c r="V23" i="2" s="1"/>
  <c r="Q22" i="2"/>
  <c r="Q23" i="2" s="1"/>
  <c r="L22" i="2"/>
  <c r="L23" i="2" s="1"/>
  <c r="G22" i="2"/>
  <c r="G23" i="2" s="1"/>
  <c r="T19" i="2"/>
  <c r="G25" i="2"/>
  <c r="G26" i="2" s="1"/>
  <c r="T18" i="2"/>
  <c r="B34" i="2"/>
  <c r="L28" i="1"/>
  <c r="L29" i="1" s="1"/>
  <c r="G28" i="1"/>
  <c r="G29" i="1" s="1"/>
  <c r="Q28" i="1"/>
  <c r="Q29" i="1" s="1"/>
  <c r="V28" i="1"/>
  <c r="V29" i="1" s="1"/>
  <c r="B60" i="1"/>
  <c r="T24" i="1"/>
  <c r="G31" i="1" l="1"/>
  <c r="G32" i="1" s="1"/>
  <c r="J50" i="1" s="1"/>
  <c r="L50" i="1" s="1"/>
  <c r="J46" i="2"/>
  <c r="L46" i="2" s="1"/>
  <c r="J48" i="2"/>
  <c r="L48" i="2" s="1"/>
  <c r="J47" i="2"/>
  <c r="L47" i="2" s="1"/>
  <c r="J45" i="2"/>
  <c r="L45" i="2" s="1"/>
  <c r="J44" i="2"/>
  <c r="L44" i="2" s="1"/>
  <c r="J42" i="2"/>
  <c r="L42" i="2" s="1"/>
  <c r="J33" i="2"/>
  <c r="L33" i="2" s="1"/>
  <c r="J34" i="2"/>
  <c r="L34" i="2" s="1"/>
  <c r="J30" i="2"/>
  <c r="L30" i="2" s="1"/>
  <c r="J43" i="2"/>
  <c r="L43" i="2" s="1"/>
  <c r="J41" i="2"/>
  <c r="L41" i="2" s="1"/>
  <c r="J39" i="2"/>
  <c r="L39" i="2" s="1"/>
  <c r="J35" i="2"/>
  <c r="L35" i="2" s="1"/>
  <c r="J31" i="2"/>
  <c r="L31" i="2" s="1"/>
  <c r="J27" i="2"/>
  <c r="L27" i="2" s="1"/>
  <c r="J40" i="2"/>
  <c r="L40" i="2" s="1"/>
  <c r="J36" i="2"/>
  <c r="L36" i="2" s="1"/>
  <c r="J32" i="2"/>
  <c r="L32" i="2" s="1"/>
  <c r="J28" i="2"/>
  <c r="L28" i="2" s="1"/>
  <c r="J37" i="2"/>
  <c r="L37" i="2" s="1"/>
  <c r="J29" i="2"/>
  <c r="L29" i="2" s="1"/>
  <c r="J25" i="2"/>
  <c r="L25" i="2" s="1"/>
  <c r="G28" i="2" s="1"/>
  <c r="J38" i="2"/>
  <c r="L38" i="2" s="1"/>
  <c r="J26" i="2"/>
  <c r="L26" i="2" s="1"/>
  <c r="B33" i="2"/>
  <c r="T17" i="2"/>
  <c r="B59" i="1"/>
  <c r="T23" i="1"/>
  <c r="J45" i="1" l="1"/>
  <c r="L45" i="1" s="1"/>
  <c r="J37" i="1"/>
  <c r="L37" i="1" s="1"/>
  <c r="J34" i="1"/>
  <c r="L34" i="1" s="1"/>
  <c r="J41" i="1"/>
  <c r="L41" i="1" s="1"/>
  <c r="J42" i="1"/>
  <c r="L42" i="1" s="1"/>
  <c r="J36" i="1"/>
  <c r="L36" i="1" s="1"/>
  <c r="J35" i="1"/>
  <c r="L35" i="1" s="1"/>
  <c r="J39" i="1"/>
  <c r="L39" i="1" s="1"/>
  <c r="J47" i="1"/>
  <c r="L47" i="1" s="1"/>
  <c r="L51" i="1"/>
  <c r="J52" i="1"/>
  <c r="L52" i="1" s="1"/>
  <c r="J43" i="1"/>
  <c r="L43" i="1" s="1"/>
  <c r="J38" i="1"/>
  <c r="L38" i="1" s="1"/>
  <c r="J33" i="1"/>
  <c r="L33" i="1" s="1"/>
  <c r="J46" i="1"/>
  <c r="L46" i="1" s="1"/>
  <c r="J32" i="1"/>
  <c r="L32" i="1" s="1"/>
  <c r="J31" i="1"/>
  <c r="L31" i="1" s="1"/>
  <c r="J44" i="1"/>
  <c r="L44" i="1" s="1"/>
  <c r="J40" i="1"/>
  <c r="L40" i="1" s="1"/>
  <c r="J48" i="1"/>
  <c r="L48" i="1" s="1"/>
  <c r="J49" i="1"/>
  <c r="L49" i="1" s="1"/>
  <c r="J53" i="1"/>
  <c r="L53" i="1" s="1"/>
  <c r="J54" i="1"/>
  <c r="L54" i="1" s="1"/>
  <c r="T16" i="2"/>
  <c r="B32" i="2"/>
  <c r="B58" i="1"/>
  <c r="T22" i="1"/>
  <c r="G34" i="1" l="1"/>
  <c r="B31" i="2"/>
  <c r="T15" i="2"/>
  <c r="T21" i="1"/>
  <c r="B57" i="1"/>
  <c r="T14" i="2" l="1"/>
  <c r="B30" i="2"/>
  <c r="O20" i="2"/>
  <c r="B56" i="1"/>
  <c r="T20" i="1"/>
  <c r="B29" i="2" l="1"/>
  <c r="O19" i="2"/>
  <c r="B55" i="1"/>
  <c r="T19" i="1"/>
  <c r="B28" i="2" l="1"/>
  <c r="O18" i="2"/>
  <c r="B54" i="1"/>
  <c r="T18" i="1"/>
  <c r="B27" i="2" l="1"/>
  <c r="O17" i="2"/>
  <c r="B53" i="1"/>
  <c r="T17" i="1"/>
  <c r="B26" i="2" l="1"/>
  <c r="O16" i="2"/>
  <c r="B52" i="1"/>
  <c r="T16" i="1"/>
  <c r="B25" i="2" l="1"/>
  <c r="O15" i="2"/>
  <c r="B51" i="1"/>
  <c r="T15" i="1"/>
  <c r="O14" i="2" l="1"/>
  <c r="B24" i="2"/>
  <c r="B50" i="1"/>
  <c r="T14" i="1"/>
  <c r="T12" i="1" s="1"/>
  <c r="B23" i="2" l="1"/>
  <c r="J20" i="2"/>
  <c r="B49" i="1"/>
  <c r="O26" i="1"/>
  <c r="Q12" i="1" s="1"/>
  <c r="J19" i="2" l="1"/>
  <c r="B22" i="2"/>
  <c r="B48" i="1"/>
  <c r="O25" i="1"/>
  <c r="B21" i="2" l="1"/>
  <c r="J18" i="2"/>
  <c r="B47" i="1"/>
  <c r="O24" i="1"/>
  <c r="B20" i="2" l="1"/>
  <c r="J17" i="2"/>
  <c r="B46" i="1"/>
  <c r="O23" i="1"/>
  <c r="B19" i="2" l="1"/>
  <c r="J16" i="2"/>
  <c r="B45" i="1"/>
  <c r="O22" i="1"/>
  <c r="J15" i="2" l="1"/>
  <c r="B18" i="2"/>
  <c r="B44" i="1"/>
  <c r="O21" i="1"/>
  <c r="B17" i="2" l="1"/>
  <c r="E20" i="2"/>
  <c r="J14" i="2"/>
  <c r="B43" i="1"/>
  <c r="O20" i="1"/>
  <c r="E19" i="2" l="1"/>
  <c r="B16" i="2"/>
  <c r="B42" i="1"/>
  <c r="O19" i="1"/>
  <c r="B15" i="2" l="1"/>
  <c r="E18" i="2"/>
  <c r="B41" i="1"/>
  <c r="O18" i="1"/>
  <c r="E17" i="2" l="1"/>
  <c r="B14" i="2"/>
  <c r="B13" i="2" s="1"/>
  <c r="B40" i="1"/>
  <c r="O17" i="1"/>
  <c r="E16" i="2" l="1"/>
  <c r="B39" i="1"/>
  <c r="O16" i="1"/>
  <c r="E15" i="2" l="1"/>
  <c r="B12" i="2"/>
  <c r="E14" i="2" s="1"/>
  <c r="E12" i="2" s="1"/>
  <c r="B38" i="1"/>
  <c r="O15" i="1"/>
  <c r="B37" i="1" l="1"/>
  <c r="O14" i="1"/>
  <c r="O12" i="1" s="1"/>
  <c r="B36" i="1" l="1"/>
  <c r="J26" i="1"/>
  <c r="L12" i="1" s="1"/>
  <c r="B35" i="1" l="1"/>
  <c r="J25" i="1"/>
  <c r="B34" i="1" l="1"/>
  <c r="J24" i="1"/>
  <c r="B33" i="1" l="1"/>
  <c r="J23" i="1"/>
  <c r="B32" i="1" l="1"/>
  <c r="J22" i="1"/>
  <c r="B31" i="1" l="1"/>
  <c r="J21" i="1"/>
  <c r="B30" i="1" l="1"/>
  <c r="J20" i="1"/>
  <c r="B29" i="1" l="1"/>
  <c r="J19" i="1"/>
  <c r="B28" i="1" l="1"/>
  <c r="J18" i="1"/>
  <c r="B27" i="1" l="1"/>
  <c r="J17" i="1"/>
  <c r="B26" i="1" l="1"/>
  <c r="J16" i="1"/>
  <c r="B25" i="1" l="1"/>
  <c r="J15" i="1"/>
  <c r="B24" i="1" l="1"/>
  <c r="J14" i="1"/>
  <c r="J12" i="1" s="1"/>
  <c r="B23" i="1" l="1"/>
  <c r="E26" i="1"/>
  <c r="G12" i="1" s="1"/>
  <c r="B22" i="1" l="1"/>
  <c r="E25" i="1"/>
  <c r="B21" i="1" l="1"/>
  <c r="E24" i="1"/>
  <c r="B20" i="1" l="1"/>
  <c r="E23" i="1"/>
  <c r="B19" i="1" l="1"/>
  <c r="E22" i="1"/>
  <c r="B18" i="1" l="1"/>
  <c r="E21" i="1"/>
  <c r="B17" i="1" l="1"/>
  <c r="E20" i="1"/>
  <c r="B16" i="1" l="1"/>
  <c r="E19" i="1"/>
  <c r="B15" i="1" l="1"/>
  <c r="E18" i="1"/>
  <c r="B14" i="1" l="1"/>
  <c r="E17" i="1"/>
  <c r="B13" i="1" l="1"/>
  <c r="E16" i="1"/>
  <c r="B12" i="1" l="1"/>
  <c r="E14" i="1" s="1"/>
  <c r="E12" i="1" s="1"/>
  <c r="E15" i="1"/>
</calcChain>
</file>

<file path=xl/sharedStrings.xml><?xml version="1.0" encoding="utf-8"?>
<sst xmlns="http://schemas.openxmlformats.org/spreadsheetml/2006/main" count="182" uniqueCount="113">
  <si>
    <t>Date</t>
  </si>
  <si>
    <t>Wages</t>
  </si>
  <si>
    <t>Period 1</t>
  </si>
  <si>
    <t>Period 2</t>
  </si>
  <si>
    <t>Period 3</t>
  </si>
  <si>
    <t>Period 4</t>
  </si>
  <si>
    <t>Period Weekly Wage</t>
  </si>
  <si>
    <t xml:space="preserve">Total </t>
  </si>
  <si>
    <t>Sum of 3 Highest Periods</t>
  </si>
  <si>
    <t>AWW</t>
  </si>
  <si>
    <t>Lowest Period</t>
  </si>
  <si>
    <t>PA Wage Calculation Based on Weekly Pay</t>
  </si>
  <si>
    <t>PA Wage Calculation Based on Bi-Weekly Pay</t>
  </si>
  <si>
    <t>Bonus</t>
  </si>
  <si>
    <t>Maximum</t>
  </si>
  <si>
    <t>$643.51-$1,286.00</t>
  </si>
  <si>
    <t>$633.76-$1,267.50</t>
  </si>
  <si>
    <t>$627.01-$1,254.00</t>
  </si>
  <si>
    <t>$605.26- $1,210.50</t>
  </si>
  <si>
    <t>$584.26- $1,168.50</t>
  </si>
  <si>
    <t>$558.73-$1,117.44</t>
  </si>
  <si>
    <t>$476.66 or less</t>
  </si>
  <si>
    <t>$469.43 or less</t>
  </si>
  <si>
    <t>$464.43 or less</t>
  </si>
  <si>
    <t>$448.32 or less</t>
  </si>
  <si>
    <t>$432.77 or less</t>
  </si>
  <si>
    <t>$413.89 or less</t>
  </si>
  <si>
    <t>$537.01-$1,074.00</t>
  </si>
  <si>
    <t>$517.24-$1,034.48</t>
  </si>
  <si>
    <t>$506.23-$1,012.45</t>
  </si>
  <si>
    <t>$496.49- $992.95</t>
  </si>
  <si>
    <t>$483.01-$966.00</t>
  </si>
  <si>
    <t>$458.26-$916.50</t>
  </si>
  <si>
    <t>$397.77 or less</t>
  </si>
  <si>
    <t>$383.32 or less</t>
  </si>
  <si>
    <t>$374.99 or less</t>
  </si>
  <si>
    <t>$367.77 or less</t>
  </si>
  <si>
    <t>$357.78 or less</t>
  </si>
  <si>
    <t>$339.43 or less</t>
  </si>
  <si>
    <t>$441.01-$882.00</t>
  </si>
  <si>
    <t>$420.76-$841.50</t>
  </si>
  <si>
    <t>$406.51-$813.00</t>
  </si>
  <si>
    <t>$326.66 or less</t>
  </si>
  <si>
    <t>$311.66 or less</t>
  </si>
  <si>
    <t>$301.10 or less</t>
  </si>
  <si>
    <r>
      <t xml:space="preserve">$476.67-$643.50
</t>
    </r>
    <r>
      <rPr>
        <b/>
        <sz val="10"/>
        <rFont val="Arial"/>
        <family val="2"/>
      </rPr>
      <t>$429.00</t>
    </r>
  </si>
  <si>
    <r>
      <t xml:space="preserve">$469.44-$633.75
</t>
    </r>
    <r>
      <rPr>
        <b/>
        <sz val="10"/>
        <rFont val="Arial"/>
        <family val="2"/>
      </rPr>
      <t>$422.50</t>
    </r>
  </si>
  <si>
    <r>
      <t xml:space="preserve">$464.44- $627.00
</t>
    </r>
    <r>
      <rPr>
        <b/>
        <sz val="10"/>
        <rFont val="Arial"/>
        <family val="2"/>
      </rPr>
      <t>$418.00</t>
    </r>
  </si>
  <si>
    <r>
      <t xml:space="preserve">$448.33- $605.25
</t>
    </r>
    <r>
      <rPr>
        <b/>
        <sz val="10"/>
        <rFont val="Arial"/>
        <family val="2"/>
      </rPr>
      <t>$403.50</t>
    </r>
  </si>
  <si>
    <r>
      <t xml:space="preserve">$432.78-$584.25
</t>
    </r>
    <r>
      <rPr>
        <b/>
        <sz val="10"/>
        <rFont val="Arial"/>
        <family val="2"/>
      </rPr>
      <t>$389.50</t>
    </r>
  </si>
  <si>
    <r>
      <t xml:space="preserve">$413.90- $558.72
</t>
    </r>
    <r>
      <rPr>
        <b/>
        <sz val="10"/>
        <rFont val="Arial"/>
        <family val="2"/>
      </rPr>
      <t>$372.50</t>
    </r>
  </si>
  <si>
    <r>
      <t xml:space="preserve">$397.78-$537.00
</t>
    </r>
    <r>
      <rPr>
        <b/>
        <sz val="10"/>
        <rFont val="Arial"/>
        <family val="2"/>
      </rPr>
      <t>$358.00</t>
    </r>
  </si>
  <si>
    <r>
      <t xml:space="preserve">$383.33-$517.23
</t>
    </r>
    <r>
      <rPr>
        <b/>
        <sz val="10"/>
        <rFont val="Arial"/>
        <family val="2"/>
      </rPr>
      <t>$345.00</t>
    </r>
  </si>
  <si>
    <r>
      <t xml:space="preserve">$375.00-$506.22
</t>
    </r>
    <r>
      <rPr>
        <b/>
        <sz val="10"/>
        <rFont val="Arial"/>
        <family val="2"/>
      </rPr>
      <t>$337.50</t>
    </r>
  </si>
  <si>
    <r>
      <t xml:space="preserve">$367.78-$496.48
</t>
    </r>
    <r>
      <rPr>
        <b/>
        <sz val="10"/>
        <rFont val="Arial"/>
        <family val="2"/>
      </rPr>
      <t>$331.00</t>
    </r>
  </si>
  <si>
    <r>
      <t xml:space="preserve">$357.79-$483.00
</t>
    </r>
    <r>
      <rPr>
        <b/>
        <sz val="10"/>
        <rFont val="Arial"/>
        <family val="2"/>
      </rPr>
      <t>$322.00</t>
    </r>
  </si>
  <si>
    <r>
      <t xml:space="preserve">$339.44-$458.25
</t>
    </r>
    <r>
      <rPr>
        <b/>
        <sz val="10"/>
        <rFont val="Arial"/>
        <family val="2"/>
      </rPr>
      <t>$305.50</t>
    </r>
  </si>
  <si>
    <r>
      <t xml:space="preserve">$326.67-$441.00
</t>
    </r>
    <r>
      <rPr>
        <b/>
        <sz val="10"/>
        <rFont val="Arial"/>
        <family val="2"/>
      </rPr>
      <t>$294.00</t>
    </r>
  </si>
  <si>
    <r>
      <t xml:space="preserve">$311.67-$420.75
</t>
    </r>
    <r>
      <rPr>
        <b/>
        <sz val="10"/>
        <rFont val="Arial"/>
        <family val="2"/>
      </rPr>
      <t>$280.50</t>
    </r>
  </si>
  <si>
    <r>
      <t>$301.11-$406.50</t>
    </r>
    <r>
      <rPr>
        <b/>
        <sz val="10"/>
        <rFont val="Arial"/>
        <family val="2"/>
      </rPr>
      <t xml:space="preserve">
$271.00</t>
    </r>
  </si>
  <si>
    <t>Week</t>
  </si>
  <si>
    <t>1 &amp; 2</t>
  </si>
  <si>
    <t>Weeks</t>
  </si>
  <si>
    <t>3 &amp; 4</t>
  </si>
  <si>
    <t>5 &amp; 6</t>
  </si>
  <si>
    <t>7 &amp; 8</t>
  </si>
  <si>
    <t>9 &amp; 10</t>
  </si>
  <si>
    <t>11 &amp; 12</t>
  </si>
  <si>
    <t>13 &amp; 14</t>
  </si>
  <si>
    <t>15 &amp; 16</t>
  </si>
  <si>
    <t>17 &amp; 18</t>
  </si>
  <si>
    <t>19 &amp; 20</t>
  </si>
  <si>
    <t>21 &amp; 22</t>
  </si>
  <si>
    <t>23 &amp; 24</t>
  </si>
  <si>
    <t>25 &amp; 26</t>
  </si>
  <si>
    <t>27 &amp; 28</t>
  </si>
  <si>
    <t>29 &amp; 30</t>
  </si>
  <si>
    <t>31 &amp; 32</t>
  </si>
  <si>
    <t>33 &amp; 34</t>
  </si>
  <si>
    <t>35 &amp; 36</t>
  </si>
  <si>
    <t>37 &amp; 38</t>
  </si>
  <si>
    <t>39 &amp; 40</t>
  </si>
  <si>
    <t>41 &amp; 42</t>
  </si>
  <si>
    <t>43 &amp; 44</t>
  </si>
  <si>
    <t>45 &amp; 46</t>
  </si>
  <si>
    <t>47 &amp; 48</t>
  </si>
  <si>
    <t>49 &amp; 50</t>
  </si>
  <si>
    <t>51 &amp; 52</t>
  </si>
  <si>
    <t>Comp. Rate</t>
  </si>
  <si>
    <t>Year of Injury</t>
  </si>
  <si>
    <t xml:space="preserve">Year of Injury: </t>
  </si>
  <si>
    <t>Instructions:</t>
  </si>
  <si>
    <t>PA Compensation Rates Table</t>
  </si>
  <si>
    <t>(4) Period information will automaticall fill in.  Average weekly wage will automatically calculate based on 3 highest periods and bonus (if, applicable)</t>
  </si>
  <si>
    <t xml:space="preserve">(1) Enter most recent pay date prior to date of injury in B61.  Other 51 dates will auto-fill.  </t>
  </si>
  <si>
    <t>(2) Enter corresponding earnings into column C</t>
  </si>
  <si>
    <t>**Note, this calculator only works for AWW and comp. rate calculations if there are three or more periods of wages**</t>
  </si>
  <si>
    <t xml:space="preserve">(3) Fill in bonus information in cell C63, if applicable. </t>
  </si>
  <si>
    <t xml:space="preserve">(5) If year of injury 2008 or sooner and is entered in cell C8, comp. rate will automatically calculate.  Refer to PA Rates Table to determine comp. rate for other years of injury.  </t>
  </si>
  <si>
    <t xml:space="preserve">(1) Enter most recent pay date prior to date of injury in B35.  Other 25 dates will auto-fill.  </t>
  </si>
  <si>
    <t xml:space="preserve">(3) Fill in bonus information in cell C37, if applicable. </t>
  </si>
  <si>
    <t>$666.01-$1,332.00</t>
  </si>
  <si>
    <r>
      <t xml:space="preserve">$493.33-$666.00
</t>
    </r>
    <r>
      <rPr>
        <b/>
        <sz val="10"/>
        <rFont val="Arial"/>
        <family val="2"/>
      </rPr>
      <t>$444.00</t>
    </r>
  </si>
  <si>
    <t>$493.32 or less</t>
  </si>
  <si>
    <t>Claimant's Name:</t>
  </si>
  <si>
    <t xml:space="preserve">Claim Number: </t>
  </si>
  <si>
    <t>$687.76-$1,375.50</t>
  </si>
  <si>
    <r>
      <t xml:space="preserve">$509.44-$687.75
</t>
    </r>
    <r>
      <rPr>
        <b/>
        <sz val="10"/>
        <rFont val="Arial"/>
        <family val="2"/>
      </rPr>
      <t>$458.50</t>
    </r>
  </si>
  <si>
    <t>$509.43 or less</t>
  </si>
  <si>
    <t>to</t>
  </si>
  <si>
    <t>$699.01-$1,398.00</t>
  </si>
  <si>
    <r>
      <t xml:space="preserve">$517.78-$699.00
</t>
    </r>
    <r>
      <rPr>
        <b/>
        <sz val="10"/>
        <rFont val="Arial"/>
        <family val="2"/>
      </rPr>
      <t>$466.00</t>
    </r>
  </si>
  <si>
    <t>$517.77 or less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</si>
</sst>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_);[Red]\(&quot;$&quot;#,##0.00\)"/>
    <numFmt numFmtId="164" formatCode="m/d/yy;@"/>
    <numFmt numFmtId="165" formatCode="&quot;$&quot;#,##0.00"/>
  </numFmts>
  <fonts count="10" x14ac:knownFonts="1">
    <font>
      <sz val="10"/>
      <name val="Arial"/>
    </font>
    <font>
      <sz val="8"/>
      <name val="Arial"/>
      <family val="2"/>
    </font>
    <font>
      <sz val="10"/>
      <name val="Arial"/>
      <family val="2"/>
    </font>
    <font>
      <sz val="10"/>
      <color indexed="9"/>
      <name val="Arial"/>
      <family val="2"/>
    </font>
    <font>
      <b/>
      <sz val="10"/>
      <name val="Arial"/>
      <family val="2"/>
    </font>
    <font>
      <sz val="14"/>
      <name val="Arial"/>
      <family val="2"/>
    </font>
    <font>
      <sz val="11"/>
      <color theme="1"/>
      <name val="Calibri"/>
      <family val="2"/>
      <scheme val="minor"/>
    </font>
    <font>
      <sz val="10"/>
      <color theme="0"/>
      <name val="Arial"/>
      <family val="2"/>
    </font>
    <font>
      <sz val="10"/>
      <color rgb="FFFF0000"/>
      <name val="Arial"/>
      <family val="2"/>
    </font>
    <font>
      <sz val="10"/>
      <color theme="9"/>
      <name val="Arial"/>
      <family val="2"/>
    </font>
  </fonts>
  <fills count="5">
    <fill>
      <patternFill patternType="none"/>
    </fill>
    <fill>
      <patternFill patternType="gray125"/>
    </fill>
    <fill>
      <patternFill patternType="solid">
        <fgColor indexed="8"/>
        <bgColor indexed="64"/>
      </patternFill>
    </fill>
    <fill>
      <patternFill patternType="solid">
        <fgColor theme="4" tint="0.79998168889431442"/>
        <bgColor indexed="65"/>
      </patternFill>
    </fill>
    <fill>
      <patternFill patternType="solid">
        <fgColor theme="4"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s>
  <cellStyleXfs count="2">
    <xf numFmtId="0" fontId="0" fillId="0" borderId="0"/>
    <xf numFmtId="0" fontId="6" fillId="3" borderId="0" applyNumberFormat="0" applyBorder="0" applyAlignment="0" applyProtection="0"/>
  </cellStyleXfs>
  <cellXfs count="97">
    <xf numFmtId="0" fontId="0" fillId="0" borderId="0" xfId="0"/>
    <xf numFmtId="0" fontId="0" fillId="0" borderId="0" xfId="0" applyBorder="1"/>
    <xf numFmtId="164" fontId="0" fillId="0" borderId="0" xfId="0" applyNumberFormat="1" applyFill="1"/>
    <xf numFmtId="0" fontId="0" fillId="0" borderId="0" xfId="0" applyFill="1"/>
    <xf numFmtId="164" fontId="0" fillId="0" borderId="0" xfId="0" applyNumberFormat="1" applyFill="1" applyBorder="1"/>
    <xf numFmtId="165" fontId="0" fillId="0" borderId="0" xfId="0" applyNumberFormat="1" applyFill="1"/>
    <xf numFmtId="0" fontId="0" fillId="0" borderId="0" xfId="0" applyFill="1" applyAlignment="1">
      <alignment horizontal="right"/>
    </xf>
    <xf numFmtId="165" fontId="0" fillId="0" borderId="0" xfId="0" applyNumberFormat="1" applyFill="1" applyBorder="1"/>
    <xf numFmtId="0" fontId="2" fillId="0" borderId="1" xfId="0" applyFont="1" applyBorder="1" applyAlignment="1">
      <alignment horizontal="center"/>
    </xf>
    <xf numFmtId="0" fontId="3" fillId="2" borderId="1" xfId="0" applyFont="1" applyFill="1" applyBorder="1" applyAlignment="1">
      <alignment horizontal="center"/>
    </xf>
    <xf numFmtId="0" fontId="2" fillId="0" borderId="0" xfId="0" applyFont="1" applyBorder="1" applyAlignment="1">
      <alignment horizontal="center"/>
    </xf>
    <xf numFmtId="8" fontId="2" fillId="0" borderId="1" xfId="0" applyNumberFormat="1" applyFont="1" applyBorder="1" applyAlignment="1">
      <alignment horizontal="center"/>
    </xf>
    <xf numFmtId="10" fontId="2" fillId="0" borderId="1" xfId="0" applyNumberFormat="1" applyFont="1" applyBorder="1" applyAlignment="1">
      <alignment horizontal="center"/>
    </xf>
    <xf numFmtId="0" fontId="2" fillId="0" borderId="1" xfId="0" quotePrefix="1" applyFont="1" applyBorder="1" applyAlignment="1">
      <alignment horizontal="center" wrapText="1"/>
    </xf>
    <xf numFmtId="0" fontId="2" fillId="0" borderId="1" xfId="0" applyFont="1" applyBorder="1" applyAlignment="1">
      <alignment horizontal="center" wrapText="1"/>
    </xf>
    <xf numFmtId="9" fontId="2" fillId="0" borderId="2" xfId="0" applyNumberFormat="1"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3" fillId="2" borderId="9" xfId="0" applyFont="1" applyFill="1" applyBorder="1" applyAlignment="1">
      <alignment horizontal="center"/>
    </xf>
    <xf numFmtId="9" fontId="2" fillId="0" borderId="1" xfId="0" applyNumberFormat="1" applyFont="1" applyBorder="1" applyAlignment="1">
      <alignment horizontal="center"/>
    </xf>
    <xf numFmtId="0" fontId="2" fillId="0" borderId="0" xfId="0" applyFont="1"/>
    <xf numFmtId="0" fontId="0" fillId="0" borderId="0" xfId="0" applyNumberFormat="1" applyAlignment="1">
      <alignment horizontal="center"/>
    </xf>
    <xf numFmtId="0" fontId="0" fillId="0" borderId="0" xfId="0" applyNumberFormat="1" applyFill="1" applyAlignment="1">
      <alignment horizontal="center"/>
    </xf>
    <xf numFmtId="16" fontId="0" fillId="0" borderId="0" xfId="0" applyNumberFormat="1" applyFill="1" applyAlignment="1">
      <alignment horizontal="center"/>
    </xf>
    <xf numFmtId="0" fontId="0" fillId="0" borderId="0" xfId="0" applyNumberFormat="1" applyFill="1" applyAlignment="1">
      <alignment horizontal="right"/>
    </xf>
    <xf numFmtId="16" fontId="0" fillId="0" borderId="0" xfId="0" applyNumberFormat="1" applyFill="1" applyAlignment="1">
      <alignment horizontal="right"/>
    </xf>
    <xf numFmtId="0" fontId="0" fillId="0" borderId="0" xfId="0" applyFont="1" applyFill="1" applyAlignment="1">
      <alignment horizontal="right"/>
    </xf>
    <xf numFmtId="164" fontId="0" fillId="0" borderId="7" xfId="0" applyNumberFormat="1" applyFill="1" applyBorder="1" applyProtection="1">
      <protection locked="0"/>
    </xf>
    <xf numFmtId="0" fontId="0" fillId="0" borderId="6" xfId="0" applyFill="1" applyBorder="1" applyProtection="1">
      <protection locked="0"/>
    </xf>
    <xf numFmtId="164" fontId="0" fillId="0" borderId="0" xfId="0" applyNumberFormat="1" applyFill="1" applyBorder="1" applyProtection="1">
      <protection locked="0"/>
    </xf>
    <xf numFmtId="0" fontId="2" fillId="0" borderId="0" xfId="0" applyFont="1" applyFill="1" applyProtection="1">
      <protection locked="0"/>
    </xf>
    <xf numFmtId="0" fontId="0" fillId="0" borderId="0" xfId="0" applyFill="1" applyProtection="1"/>
    <xf numFmtId="0" fontId="2" fillId="0" borderId="0" xfId="0" applyFont="1" applyFill="1" applyProtection="1"/>
    <xf numFmtId="0" fontId="7" fillId="0" borderId="0" xfId="0" applyFont="1" applyFill="1" applyProtection="1">
      <protection hidden="1"/>
    </xf>
    <xf numFmtId="2" fontId="7" fillId="0" borderId="0" xfId="0" applyNumberFormat="1" applyFont="1" applyFill="1" applyProtection="1">
      <protection hidden="1"/>
    </xf>
    <xf numFmtId="165" fontId="0" fillId="0" borderId="0" xfId="0" applyNumberFormat="1" applyFill="1" applyBorder="1" applyProtection="1">
      <protection locked="0"/>
    </xf>
    <xf numFmtId="0" fontId="7" fillId="0" borderId="0" xfId="0" applyFont="1" applyFill="1"/>
    <xf numFmtId="2" fontId="7" fillId="0" borderId="0" xfId="0" applyNumberFormat="1" applyFont="1" applyFill="1"/>
    <xf numFmtId="0" fontId="5" fillId="0" borderId="0" xfId="0" applyFont="1"/>
    <xf numFmtId="0" fontId="2" fillId="0" borderId="0" xfId="0" applyFont="1" applyFill="1" applyAlignment="1" applyProtection="1">
      <protection locked="0"/>
    </xf>
    <xf numFmtId="0" fontId="2" fillId="0" borderId="0" xfId="0" applyFont="1" applyFill="1" applyAlignment="1" applyProtection="1">
      <alignment horizontal="center"/>
      <protection locked="0"/>
    </xf>
    <xf numFmtId="164" fontId="2" fillId="0" borderId="0" xfId="0" applyNumberFormat="1" applyFont="1" applyFill="1" applyProtection="1">
      <protection locked="0"/>
    </xf>
    <xf numFmtId="0" fontId="2" fillId="0" borderId="6" xfId="0" applyFont="1" applyFill="1" applyBorder="1" applyProtection="1">
      <protection locked="0"/>
    </xf>
    <xf numFmtId="164" fontId="2" fillId="0" borderId="0" xfId="0" applyNumberFormat="1" applyFont="1" applyFill="1" applyProtection="1"/>
    <xf numFmtId="165" fontId="2" fillId="0" borderId="0" xfId="0" applyNumberFormat="1" applyFont="1" applyFill="1" applyProtection="1"/>
    <xf numFmtId="0" fontId="2" fillId="0" borderId="0" xfId="0" applyFont="1" applyFill="1" applyAlignment="1" applyProtection="1">
      <alignment horizontal="right"/>
    </xf>
    <xf numFmtId="165" fontId="2" fillId="0" borderId="0" xfId="0" applyNumberFormat="1" applyFont="1" applyFill="1" applyProtection="1">
      <protection locked="0"/>
    </xf>
    <xf numFmtId="0" fontId="2" fillId="4" borderId="1" xfId="0" applyFont="1" applyFill="1" applyBorder="1" applyProtection="1">
      <protection locked="0"/>
    </xf>
    <xf numFmtId="0" fontId="6" fillId="3" borderId="1" xfId="1" applyBorder="1" applyProtection="1">
      <protection locked="0"/>
    </xf>
    <xf numFmtId="165" fontId="2" fillId="4" borderId="1" xfId="0" applyNumberFormat="1" applyFont="1" applyFill="1" applyBorder="1" applyProtection="1">
      <protection locked="0"/>
    </xf>
    <xf numFmtId="164" fontId="2" fillId="4" borderId="1" xfId="0" applyNumberFormat="1" applyFont="1" applyFill="1" applyBorder="1" applyProtection="1">
      <protection locked="0"/>
    </xf>
    <xf numFmtId="164" fontId="2" fillId="0" borderId="1" xfId="0" applyNumberFormat="1" applyFont="1" applyFill="1" applyBorder="1" applyProtection="1"/>
    <xf numFmtId="165" fontId="0" fillId="4" borderId="1" xfId="0" applyNumberFormat="1" applyFill="1" applyBorder="1" applyProtection="1">
      <protection locked="0"/>
    </xf>
    <xf numFmtId="0" fontId="0" fillId="4" borderId="1" xfId="0" applyFill="1" applyBorder="1" applyProtection="1">
      <protection locked="0"/>
    </xf>
    <xf numFmtId="164" fontId="0" fillId="0" borderId="1" xfId="0" applyNumberFormat="1" applyFill="1" applyBorder="1" applyProtection="1"/>
    <xf numFmtId="164" fontId="0" fillId="4" borderId="1" xfId="0" applyNumberFormat="1" applyFill="1" applyBorder="1" applyProtection="1">
      <protection locked="0"/>
    </xf>
    <xf numFmtId="0" fontId="0" fillId="0" borderId="0" xfId="0" applyProtection="1"/>
    <xf numFmtId="164" fontId="0" fillId="0" borderId="0" xfId="0" applyNumberFormat="1" applyFill="1" applyAlignment="1" applyProtection="1"/>
    <xf numFmtId="0" fontId="0" fillId="0" borderId="0" xfId="0" applyAlignment="1" applyProtection="1"/>
    <xf numFmtId="0" fontId="2" fillId="0" borderId="0" xfId="0" applyFont="1" applyAlignment="1" applyProtection="1">
      <alignment horizontal="right"/>
    </xf>
    <xf numFmtId="0" fontId="2" fillId="0" borderId="0" xfId="0" applyFont="1" applyAlignment="1" applyProtection="1"/>
    <xf numFmtId="0" fontId="0" fillId="0" borderId="0" xfId="0" applyNumberFormat="1" applyAlignment="1" applyProtection="1">
      <alignment horizontal="center"/>
    </xf>
    <xf numFmtId="0" fontId="2" fillId="0" borderId="0" xfId="0" applyFont="1" applyFill="1" applyAlignment="1" applyProtection="1"/>
    <xf numFmtId="164" fontId="0" fillId="0" borderId="10" xfId="0" applyNumberFormat="1" applyFill="1" applyBorder="1" applyProtection="1"/>
    <xf numFmtId="164" fontId="2" fillId="0" borderId="0" xfId="0" applyNumberFormat="1" applyFont="1" applyFill="1" applyAlignment="1" applyProtection="1"/>
    <xf numFmtId="0" fontId="2" fillId="0" borderId="0" xfId="0" applyFont="1" applyFill="1" applyAlignment="1" applyProtection="1">
      <alignment horizontal="center"/>
    </xf>
    <xf numFmtId="164" fontId="2" fillId="0" borderId="0" xfId="0" applyNumberFormat="1" applyFont="1" applyFill="1" applyAlignment="1" applyProtection="1">
      <alignment horizontal="right"/>
    </xf>
    <xf numFmtId="164" fontId="2" fillId="0" borderId="7" xfId="0" applyNumberFormat="1" applyFont="1" applyFill="1" applyBorder="1" applyProtection="1"/>
    <xf numFmtId="164" fontId="2" fillId="0" borderId="10" xfId="0" applyNumberFormat="1" applyFont="1" applyFill="1" applyBorder="1" applyProtection="1"/>
    <xf numFmtId="0" fontId="8" fillId="0" borderId="0" xfId="0" applyFont="1" applyFill="1" applyProtection="1"/>
    <xf numFmtId="165" fontId="8" fillId="0" borderId="0" xfId="0" applyNumberFormat="1" applyFont="1" applyFill="1" applyProtection="1"/>
    <xf numFmtId="0" fontId="8" fillId="0" borderId="0" xfId="0" applyFont="1" applyFill="1"/>
    <xf numFmtId="0" fontId="2" fillId="0" borderId="0" xfId="0" applyFont="1" applyFill="1" applyAlignment="1" applyProtection="1">
      <alignment horizontal="left" vertical="center"/>
      <protection locked="0"/>
    </xf>
    <xf numFmtId="0" fontId="2" fillId="0" borderId="0" xfId="0" applyFont="1" applyFill="1" applyAlignment="1" applyProtection="1">
      <alignment horizontal="left"/>
      <protection locked="0"/>
    </xf>
    <xf numFmtId="0" fontId="0" fillId="0" borderId="0" xfId="0" applyAlignment="1" applyProtection="1">
      <alignment horizontal="left" vertical="center"/>
      <protection locked="0"/>
    </xf>
    <xf numFmtId="0" fontId="0" fillId="0" borderId="0" xfId="0" applyAlignment="1" applyProtection="1">
      <alignment horizontal="left"/>
      <protection locked="0"/>
    </xf>
    <xf numFmtId="0" fontId="2" fillId="0" borderId="0" xfId="0" applyFont="1" applyAlignment="1" applyProtection="1">
      <alignment horizontal="left"/>
      <protection locked="0"/>
    </xf>
    <xf numFmtId="0" fontId="7" fillId="0" borderId="0" xfId="0" applyFont="1" applyFill="1" applyProtection="1"/>
    <xf numFmtId="0" fontId="2" fillId="0" borderId="0" xfId="0" applyFont="1" applyAlignment="1" applyProtection="1"/>
    <xf numFmtId="0" fontId="7" fillId="0" borderId="0" xfId="0" applyFont="1" applyFill="1" applyAlignment="1" applyProtection="1">
      <alignment horizontal="right"/>
    </xf>
    <xf numFmtId="0" fontId="9" fillId="0" borderId="0" xfId="0" applyFont="1" applyFill="1" applyAlignment="1" applyProtection="1">
      <alignment horizontal="right"/>
    </xf>
    <xf numFmtId="0" fontId="9" fillId="0" borderId="0" xfId="0" applyFont="1" applyFill="1" applyProtection="1"/>
    <xf numFmtId="0" fontId="9" fillId="0" borderId="0" xfId="0" applyFont="1" applyFill="1"/>
    <xf numFmtId="0" fontId="9" fillId="0" borderId="0" xfId="0" applyFont="1"/>
    <xf numFmtId="2" fontId="7" fillId="0" borderId="0" xfId="0" applyNumberFormat="1" applyFont="1" applyFill="1" applyProtection="1"/>
    <xf numFmtId="164" fontId="7" fillId="0" borderId="0" xfId="0" applyNumberFormat="1" applyFont="1" applyFill="1" applyProtection="1"/>
    <xf numFmtId="164" fontId="5" fillId="0" borderId="0" xfId="0" applyNumberFormat="1" applyFont="1" applyFill="1" applyAlignment="1" applyProtection="1">
      <alignment horizontal="center"/>
    </xf>
    <xf numFmtId="0" fontId="2" fillId="0" borderId="0" xfId="0" applyFont="1" applyAlignment="1" applyProtection="1"/>
    <xf numFmtId="0" fontId="0" fillId="0" borderId="0" xfId="0" applyProtection="1"/>
    <xf numFmtId="14" fontId="8" fillId="0" borderId="0" xfId="0" applyNumberFormat="1" applyFont="1" applyFill="1" applyProtection="1"/>
    <xf numFmtId="164" fontId="8" fillId="0" borderId="0" xfId="0" applyNumberFormat="1" applyFont="1" applyFill="1" applyProtection="1"/>
  </cellXfs>
  <cellStyles count="2">
    <cellStyle name="20% - Accent1" xfId="1" builtinId="3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7"/>
  <sheetViews>
    <sheetView tabSelected="1" workbookViewId="0">
      <selection activeCell="D56" sqref="D56"/>
    </sheetView>
  </sheetViews>
  <sheetFormatPr defaultRowHeight="12.75" x14ac:dyDescent="0.2"/>
  <cols>
    <col min="1" max="1" width="5.42578125" style="46" customWidth="1"/>
    <col min="2" max="2" width="10.7109375" style="47" customWidth="1"/>
    <col min="3" max="3" width="10.140625" style="36" bestFit="1" customWidth="1"/>
    <col min="4" max="4" width="11.28515625" style="36" customWidth="1"/>
    <col min="5" max="5" width="10.7109375" style="36" customWidth="1"/>
    <col min="6" max="6" width="2.28515625" style="36" customWidth="1"/>
    <col min="7" max="7" width="10.7109375" style="36" customWidth="1"/>
    <col min="8" max="8" width="5.7109375" style="36" customWidth="1"/>
    <col min="9" max="9" width="3.7109375" style="36" customWidth="1"/>
    <col min="10" max="10" width="10.7109375" style="36" customWidth="1"/>
    <col min="11" max="11" width="2.28515625" style="36" customWidth="1"/>
    <col min="12" max="12" width="10.7109375" style="36" customWidth="1"/>
    <col min="13" max="13" width="5.7109375" style="36" customWidth="1"/>
    <col min="14" max="14" width="3.7109375" style="36" customWidth="1"/>
    <col min="15" max="15" width="10.7109375" style="36" customWidth="1"/>
    <col min="16" max="16" width="2.28515625" style="36" customWidth="1"/>
    <col min="17" max="17" width="10.7109375" style="36" customWidth="1"/>
    <col min="18" max="18" width="5.7109375" style="36" customWidth="1"/>
    <col min="19" max="19" width="3.7109375" style="36" customWidth="1"/>
    <col min="20" max="20" width="10.7109375" style="36" customWidth="1"/>
    <col min="21" max="21" width="2.28515625" style="36" customWidth="1"/>
    <col min="22" max="22" width="10.7109375" style="36" customWidth="1"/>
    <col min="23" max="16384" width="9.140625" style="36"/>
  </cols>
  <sheetData>
    <row r="1" spans="1:23" x14ac:dyDescent="0.2">
      <c r="A1" s="78" t="s">
        <v>104</v>
      </c>
      <c r="B1" s="80"/>
      <c r="C1" s="80"/>
      <c r="D1" s="80"/>
      <c r="E1" s="80"/>
      <c r="F1" s="80"/>
      <c r="G1" s="80"/>
      <c r="K1" s="80"/>
      <c r="P1" s="80"/>
      <c r="U1" s="80"/>
    </row>
    <row r="2" spans="1:23" x14ac:dyDescent="0.2">
      <c r="A2" s="79" t="s">
        <v>105</v>
      </c>
      <c r="B2" s="81"/>
      <c r="C2" s="82"/>
      <c r="D2" s="81"/>
      <c r="E2" s="81"/>
      <c r="F2" s="81"/>
      <c r="G2" s="81"/>
      <c r="K2" s="81"/>
      <c r="P2" s="81"/>
      <c r="U2" s="81"/>
    </row>
    <row r="3" spans="1:23" ht="18" x14ac:dyDescent="0.25">
      <c r="A3" s="92" t="s">
        <v>11</v>
      </c>
      <c r="B3" s="93"/>
      <c r="C3" s="93"/>
      <c r="D3" s="93"/>
      <c r="E3" s="93"/>
      <c r="F3" s="93"/>
      <c r="G3" s="93"/>
      <c r="H3" s="93"/>
      <c r="I3" s="93"/>
    </row>
    <row r="4" spans="1:23" s="45" customFormat="1" x14ac:dyDescent="0.2">
      <c r="A4" s="70"/>
      <c r="B4" s="51" t="s">
        <v>91</v>
      </c>
      <c r="C4" s="66" t="s">
        <v>94</v>
      </c>
      <c r="E4" s="66"/>
      <c r="F4" s="84"/>
      <c r="G4" s="66"/>
      <c r="H4" s="66"/>
      <c r="I4" s="66"/>
      <c r="J4" s="66"/>
      <c r="K4" s="84"/>
      <c r="L4" s="66"/>
      <c r="M4" s="66"/>
      <c r="N4" s="66"/>
      <c r="O4" s="66"/>
      <c r="P4" s="84"/>
      <c r="Q4" s="66"/>
      <c r="R4" s="66"/>
      <c r="S4" s="66"/>
      <c r="T4" s="66"/>
      <c r="U4" s="84"/>
      <c r="V4" s="66"/>
      <c r="W4" s="68"/>
    </row>
    <row r="5" spans="1:23" s="45" customFormat="1" x14ac:dyDescent="0.2">
      <c r="A5" s="71"/>
      <c r="B5" s="68"/>
      <c r="C5" s="68" t="s">
        <v>95</v>
      </c>
      <c r="E5" s="66"/>
      <c r="F5" s="84"/>
      <c r="G5" s="66"/>
      <c r="H5" s="66"/>
      <c r="I5" s="66"/>
      <c r="J5" s="66"/>
      <c r="K5" s="84"/>
      <c r="L5" s="66"/>
      <c r="M5" s="66"/>
      <c r="N5" s="66"/>
      <c r="O5" s="66"/>
      <c r="P5" s="84"/>
      <c r="Q5" s="66"/>
      <c r="R5" s="66"/>
      <c r="S5" s="66"/>
      <c r="T5" s="66"/>
      <c r="U5" s="84"/>
      <c r="V5" s="66"/>
      <c r="W5" s="68"/>
    </row>
    <row r="6" spans="1:23" x14ac:dyDescent="0.2">
      <c r="A6" s="71"/>
      <c r="B6" s="38"/>
      <c r="C6" s="66" t="s">
        <v>97</v>
      </c>
      <c r="E6" s="38"/>
      <c r="F6" s="38"/>
      <c r="G6" s="38"/>
      <c r="H6" s="38"/>
      <c r="I6" s="38"/>
      <c r="J6" s="38"/>
      <c r="K6" s="38"/>
      <c r="L6" s="38"/>
      <c r="M6" s="38"/>
      <c r="N6" s="38"/>
      <c r="O6" s="38"/>
      <c r="P6" s="38"/>
      <c r="Q6" s="38"/>
      <c r="R6" s="38"/>
      <c r="S6" s="38"/>
      <c r="T6" s="38"/>
      <c r="U6" s="38"/>
      <c r="V6" s="38"/>
      <c r="W6" s="38"/>
    </row>
    <row r="7" spans="1:23" x14ac:dyDescent="0.2">
      <c r="A7" s="71"/>
      <c r="B7" s="38"/>
      <c r="C7" s="38" t="s">
        <v>93</v>
      </c>
      <c r="E7" s="38"/>
      <c r="F7" s="38"/>
      <c r="G7" s="38"/>
      <c r="H7" s="38"/>
      <c r="I7" s="38"/>
      <c r="J7" s="38"/>
      <c r="K7" s="38"/>
      <c r="L7" s="38"/>
      <c r="M7" s="38"/>
      <c r="N7" s="38"/>
      <c r="O7" s="38"/>
      <c r="P7" s="38"/>
      <c r="Q7" s="38"/>
      <c r="R7" s="38"/>
      <c r="S7" s="38"/>
      <c r="T7" s="38"/>
      <c r="U7" s="38"/>
      <c r="V7" s="38"/>
      <c r="W7" s="38"/>
    </row>
    <row r="8" spans="1:23" x14ac:dyDescent="0.2">
      <c r="A8" s="71"/>
      <c r="B8" s="38"/>
      <c r="C8" s="38" t="s">
        <v>98</v>
      </c>
      <c r="E8" s="38"/>
      <c r="F8" s="38"/>
      <c r="G8" s="38"/>
      <c r="H8" s="38"/>
      <c r="I8" s="38"/>
      <c r="J8" s="38"/>
      <c r="K8" s="38"/>
      <c r="L8" s="38"/>
      <c r="M8" s="38"/>
      <c r="N8" s="38"/>
      <c r="O8" s="38"/>
      <c r="P8" s="38"/>
      <c r="Q8" s="38"/>
      <c r="R8" s="38"/>
      <c r="S8" s="38"/>
      <c r="T8" s="38"/>
      <c r="U8" s="38"/>
      <c r="V8" s="38"/>
      <c r="W8" s="38"/>
    </row>
    <row r="9" spans="1:23" x14ac:dyDescent="0.2">
      <c r="A9" s="71"/>
      <c r="B9" s="38"/>
      <c r="C9" s="38" t="s">
        <v>96</v>
      </c>
      <c r="E9" s="38"/>
      <c r="F9" s="38"/>
      <c r="G9" s="38"/>
      <c r="H9" s="38"/>
      <c r="I9" s="38"/>
      <c r="J9" s="38"/>
      <c r="K9" s="38"/>
      <c r="L9" s="38"/>
      <c r="M9" s="38"/>
      <c r="N9" s="38"/>
      <c r="O9" s="38"/>
      <c r="P9" s="38"/>
      <c r="Q9" s="38"/>
      <c r="R9" s="38"/>
      <c r="S9" s="38"/>
      <c r="T9" s="38"/>
      <c r="U9" s="38"/>
      <c r="V9" s="38"/>
      <c r="W9" s="38"/>
    </row>
    <row r="10" spans="1:23" ht="15" x14ac:dyDescent="0.25">
      <c r="A10" s="71"/>
      <c r="B10" s="72" t="s">
        <v>89</v>
      </c>
      <c r="C10" s="54"/>
      <c r="D10" s="38"/>
      <c r="E10" s="38"/>
      <c r="F10" s="38"/>
      <c r="G10" s="38"/>
      <c r="H10" s="38"/>
      <c r="I10" s="38"/>
      <c r="J10" s="38"/>
      <c r="K10" s="38"/>
      <c r="L10" s="38"/>
      <c r="M10" s="38"/>
      <c r="N10" s="38"/>
      <c r="O10" s="38"/>
      <c r="P10" s="38"/>
      <c r="Q10" s="38"/>
      <c r="R10" s="38"/>
      <c r="S10" s="38"/>
      <c r="T10" s="38"/>
      <c r="U10" s="38"/>
      <c r="V10" s="38"/>
      <c r="W10" s="38"/>
    </row>
    <row r="11" spans="1:23" x14ac:dyDescent="0.2">
      <c r="A11" s="71" t="s">
        <v>60</v>
      </c>
      <c r="B11" s="73" t="s">
        <v>0</v>
      </c>
      <c r="C11" s="48" t="s">
        <v>1</v>
      </c>
      <c r="D11" s="38"/>
      <c r="E11" s="38" t="s">
        <v>2</v>
      </c>
      <c r="F11" s="38"/>
      <c r="G11" s="38"/>
      <c r="H11" s="38"/>
      <c r="I11" s="38"/>
      <c r="J11" s="38" t="s">
        <v>3</v>
      </c>
      <c r="K11" s="38"/>
      <c r="L11" s="38"/>
      <c r="M11" s="38"/>
      <c r="N11" s="38"/>
      <c r="O11" s="38" t="s">
        <v>4</v>
      </c>
      <c r="P11" s="38"/>
      <c r="Q11" s="38"/>
      <c r="R11" s="38"/>
      <c r="S11" s="38"/>
      <c r="T11" s="38" t="s">
        <v>5</v>
      </c>
      <c r="U11" s="38"/>
      <c r="V11" s="38"/>
      <c r="W11" s="38"/>
    </row>
    <row r="12" spans="1:23" x14ac:dyDescent="0.2">
      <c r="A12" s="71">
        <v>1</v>
      </c>
      <c r="B12" s="57">
        <f t="shared" ref="B12:B61" si="0">B13-7</f>
        <v>-357</v>
      </c>
      <c r="C12" s="55"/>
      <c r="D12" s="38"/>
      <c r="E12" s="49">
        <f>E14-6</f>
        <v>-363</v>
      </c>
      <c r="F12" s="38" t="s">
        <v>109</v>
      </c>
      <c r="G12" s="49">
        <f>E26</f>
        <v>-273</v>
      </c>
      <c r="H12" s="38"/>
      <c r="I12" s="38"/>
      <c r="J12" s="49">
        <f>J14-6</f>
        <v>-272</v>
      </c>
      <c r="K12" s="38" t="s">
        <v>109</v>
      </c>
      <c r="L12" s="49">
        <f>J26</f>
        <v>-182</v>
      </c>
      <c r="M12" s="38"/>
      <c r="N12" s="38"/>
      <c r="O12" s="49">
        <f>O14-6</f>
        <v>-181</v>
      </c>
      <c r="P12" s="38" t="s">
        <v>109</v>
      </c>
      <c r="Q12" s="49">
        <f>O26</f>
        <v>-91</v>
      </c>
      <c r="R12" s="38"/>
      <c r="S12" s="38"/>
      <c r="T12" s="49">
        <f>T14-6</f>
        <v>-90</v>
      </c>
      <c r="U12" s="38" t="s">
        <v>109</v>
      </c>
      <c r="V12" s="49">
        <f>T26</f>
        <v>0</v>
      </c>
      <c r="W12" s="38"/>
    </row>
    <row r="13" spans="1:23" x14ac:dyDescent="0.2">
      <c r="A13" s="71">
        <v>2</v>
      </c>
      <c r="B13" s="57">
        <f t="shared" si="0"/>
        <v>-350</v>
      </c>
      <c r="C13" s="55"/>
      <c r="E13" s="38" t="s">
        <v>0</v>
      </c>
      <c r="F13" s="38"/>
      <c r="G13" s="38" t="s">
        <v>1</v>
      </c>
      <c r="H13" s="38"/>
      <c r="I13" s="38"/>
      <c r="J13" s="38" t="s">
        <v>0</v>
      </c>
      <c r="K13" s="38"/>
      <c r="L13" s="38" t="s">
        <v>1</v>
      </c>
      <c r="M13" s="38"/>
      <c r="N13" s="38"/>
      <c r="O13" s="38" t="s">
        <v>0</v>
      </c>
      <c r="P13" s="38"/>
      <c r="Q13" s="38" t="s">
        <v>1</v>
      </c>
      <c r="R13" s="38"/>
      <c r="S13" s="38"/>
      <c r="T13" s="38" t="s">
        <v>0</v>
      </c>
      <c r="U13" s="38"/>
      <c r="V13" s="38" t="s">
        <v>1</v>
      </c>
      <c r="W13" s="38"/>
    </row>
    <row r="14" spans="1:23" x14ac:dyDescent="0.2">
      <c r="A14" s="71">
        <v>3</v>
      </c>
      <c r="B14" s="57">
        <f t="shared" si="0"/>
        <v>-343</v>
      </c>
      <c r="C14" s="55"/>
      <c r="D14" s="38">
        <v>1</v>
      </c>
      <c r="E14" s="49">
        <f t="shared" ref="E14:E26" si="1">B12</f>
        <v>-357</v>
      </c>
      <c r="F14" s="49"/>
      <c r="G14" s="50">
        <f t="shared" ref="G14:G26" si="2">C12</f>
        <v>0</v>
      </c>
      <c r="H14" s="50"/>
      <c r="I14" s="38">
        <v>14</v>
      </c>
      <c r="J14" s="49">
        <f t="shared" ref="J14:J26" si="3">B25</f>
        <v>-266</v>
      </c>
      <c r="K14" s="49"/>
      <c r="L14" s="50">
        <f t="shared" ref="L14:L26" si="4">C25</f>
        <v>0</v>
      </c>
      <c r="M14" s="50"/>
      <c r="N14" s="38">
        <v>27</v>
      </c>
      <c r="O14" s="49">
        <f t="shared" ref="O14:O26" si="5">B38</f>
        <v>-175</v>
      </c>
      <c r="P14" s="49"/>
      <c r="Q14" s="50">
        <f t="shared" ref="Q14:Q26" si="6">C38</f>
        <v>0</v>
      </c>
      <c r="R14" s="50"/>
      <c r="S14" s="38">
        <v>40</v>
      </c>
      <c r="T14" s="49">
        <f t="shared" ref="T14:T26" si="7">B51</f>
        <v>-84</v>
      </c>
      <c r="U14" s="49"/>
      <c r="V14" s="50">
        <f t="shared" ref="V14:V26" si="8">C51</f>
        <v>0</v>
      </c>
      <c r="W14" s="38"/>
    </row>
    <row r="15" spans="1:23" x14ac:dyDescent="0.2">
      <c r="A15" s="71">
        <v>4</v>
      </c>
      <c r="B15" s="57">
        <f t="shared" si="0"/>
        <v>-336</v>
      </c>
      <c r="C15" s="55"/>
      <c r="D15" s="38">
        <v>2</v>
      </c>
      <c r="E15" s="49">
        <f t="shared" si="1"/>
        <v>-350</v>
      </c>
      <c r="F15" s="49"/>
      <c r="G15" s="50">
        <f t="shared" si="2"/>
        <v>0</v>
      </c>
      <c r="H15" s="50"/>
      <c r="I15" s="38">
        <f>I14+1</f>
        <v>15</v>
      </c>
      <c r="J15" s="49">
        <f t="shared" si="3"/>
        <v>-259</v>
      </c>
      <c r="K15" s="49"/>
      <c r="L15" s="50">
        <f t="shared" si="4"/>
        <v>0</v>
      </c>
      <c r="M15" s="50"/>
      <c r="N15" s="38">
        <f>N14+1</f>
        <v>28</v>
      </c>
      <c r="O15" s="49">
        <f t="shared" si="5"/>
        <v>-168</v>
      </c>
      <c r="P15" s="49"/>
      <c r="Q15" s="50">
        <f t="shared" si="6"/>
        <v>0</v>
      </c>
      <c r="R15" s="50"/>
      <c r="S15" s="38">
        <f>S14+1</f>
        <v>41</v>
      </c>
      <c r="T15" s="49">
        <f t="shared" si="7"/>
        <v>-77</v>
      </c>
      <c r="U15" s="49"/>
      <c r="V15" s="50">
        <f t="shared" si="8"/>
        <v>0</v>
      </c>
      <c r="W15" s="38"/>
    </row>
    <row r="16" spans="1:23" x14ac:dyDescent="0.2">
      <c r="A16" s="71">
        <v>5</v>
      </c>
      <c r="B16" s="57">
        <f t="shared" si="0"/>
        <v>-329</v>
      </c>
      <c r="C16" s="55"/>
      <c r="D16" s="38">
        <v>3</v>
      </c>
      <c r="E16" s="49">
        <f t="shared" si="1"/>
        <v>-343</v>
      </c>
      <c r="F16" s="49"/>
      <c r="G16" s="50">
        <f t="shared" si="2"/>
        <v>0</v>
      </c>
      <c r="H16" s="50"/>
      <c r="I16" s="38">
        <f t="shared" ref="I16:I26" si="9">I15+1</f>
        <v>16</v>
      </c>
      <c r="J16" s="49">
        <f t="shared" si="3"/>
        <v>-252</v>
      </c>
      <c r="K16" s="49"/>
      <c r="L16" s="50">
        <f t="shared" si="4"/>
        <v>0</v>
      </c>
      <c r="M16" s="50"/>
      <c r="N16" s="38">
        <f t="shared" ref="N16:N26" si="10">N15+1</f>
        <v>29</v>
      </c>
      <c r="O16" s="49">
        <f t="shared" si="5"/>
        <v>-161</v>
      </c>
      <c r="P16" s="49"/>
      <c r="Q16" s="50">
        <f t="shared" si="6"/>
        <v>0</v>
      </c>
      <c r="R16" s="50"/>
      <c r="S16" s="38">
        <f t="shared" ref="S16:S26" si="11">S15+1</f>
        <v>42</v>
      </c>
      <c r="T16" s="49">
        <f t="shared" si="7"/>
        <v>-70</v>
      </c>
      <c r="U16" s="49"/>
      <c r="V16" s="50">
        <f t="shared" si="8"/>
        <v>0</v>
      </c>
      <c r="W16" s="38"/>
    </row>
    <row r="17" spans="1:23" x14ac:dyDescent="0.2">
      <c r="A17" s="71">
        <v>6</v>
      </c>
      <c r="B17" s="57">
        <f t="shared" si="0"/>
        <v>-322</v>
      </c>
      <c r="C17" s="55"/>
      <c r="D17" s="38">
        <v>4</v>
      </c>
      <c r="E17" s="49">
        <f t="shared" si="1"/>
        <v>-336</v>
      </c>
      <c r="F17" s="49"/>
      <c r="G17" s="50">
        <f t="shared" si="2"/>
        <v>0</v>
      </c>
      <c r="H17" s="50"/>
      <c r="I17" s="38">
        <f t="shared" si="9"/>
        <v>17</v>
      </c>
      <c r="J17" s="49">
        <f t="shared" si="3"/>
        <v>-245</v>
      </c>
      <c r="K17" s="49"/>
      <c r="L17" s="50">
        <f t="shared" si="4"/>
        <v>0</v>
      </c>
      <c r="M17" s="50"/>
      <c r="N17" s="38">
        <f t="shared" si="10"/>
        <v>30</v>
      </c>
      <c r="O17" s="49">
        <f t="shared" si="5"/>
        <v>-154</v>
      </c>
      <c r="P17" s="49"/>
      <c r="Q17" s="50">
        <f t="shared" si="6"/>
        <v>0</v>
      </c>
      <c r="R17" s="50"/>
      <c r="S17" s="38">
        <f t="shared" si="11"/>
        <v>43</v>
      </c>
      <c r="T17" s="49">
        <f t="shared" si="7"/>
        <v>-63</v>
      </c>
      <c r="U17" s="49"/>
      <c r="V17" s="50">
        <f t="shared" si="8"/>
        <v>0</v>
      </c>
      <c r="W17" s="38"/>
    </row>
    <row r="18" spans="1:23" x14ac:dyDescent="0.2">
      <c r="A18" s="71">
        <v>7</v>
      </c>
      <c r="B18" s="57">
        <f t="shared" si="0"/>
        <v>-315</v>
      </c>
      <c r="C18" s="55"/>
      <c r="D18" s="38">
        <v>5</v>
      </c>
      <c r="E18" s="49">
        <f t="shared" si="1"/>
        <v>-329</v>
      </c>
      <c r="F18" s="49"/>
      <c r="G18" s="50">
        <f t="shared" si="2"/>
        <v>0</v>
      </c>
      <c r="H18" s="50"/>
      <c r="I18" s="38">
        <f t="shared" si="9"/>
        <v>18</v>
      </c>
      <c r="J18" s="49">
        <f t="shared" si="3"/>
        <v>-238</v>
      </c>
      <c r="K18" s="49"/>
      <c r="L18" s="50">
        <f t="shared" si="4"/>
        <v>0</v>
      </c>
      <c r="M18" s="50"/>
      <c r="N18" s="38">
        <f t="shared" si="10"/>
        <v>31</v>
      </c>
      <c r="O18" s="49">
        <f t="shared" si="5"/>
        <v>-147</v>
      </c>
      <c r="P18" s="49"/>
      <c r="Q18" s="50">
        <f t="shared" si="6"/>
        <v>0</v>
      </c>
      <c r="R18" s="50"/>
      <c r="S18" s="38">
        <f t="shared" si="11"/>
        <v>44</v>
      </c>
      <c r="T18" s="49">
        <f t="shared" si="7"/>
        <v>-56</v>
      </c>
      <c r="U18" s="49"/>
      <c r="V18" s="50">
        <f t="shared" si="8"/>
        <v>0</v>
      </c>
      <c r="W18" s="38"/>
    </row>
    <row r="19" spans="1:23" x14ac:dyDescent="0.2">
      <c r="A19" s="71">
        <v>8</v>
      </c>
      <c r="B19" s="57">
        <f t="shared" si="0"/>
        <v>-308</v>
      </c>
      <c r="C19" s="55"/>
      <c r="D19" s="38">
        <v>6</v>
      </c>
      <c r="E19" s="49">
        <f t="shared" si="1"/>
        <v>-322</v>
      </c>
      <c r="F19" s="49"/>
      <c r="G19" s="50">
        <f t="shared" si="2"/>
        <v>0</v>
      </c>
      <c r="H19" s="50"/>
      <c r="I19" s="38">
        <f t="shared" si="9"/>
        <v>19</v>
      </c>
      <c r="J19" s="49">
        <f t="shared" si="3"/>
        <v>-231</v>
      </c>
      <c r="K19" s="49"/>
      <c r="L19" s="50">
        <f t="shared" si="4"/>
        <v>0</v>
      </c>
      <c r="M19" s="50"/>
      <c r="N19" s="38">
        <f t="shared" si="10"/>
        <v>32</v>
      </c>
      <c r="O19" s="49">
        <f t="shared" si="5"/>
        <v>-140</v>
      </c>
      <c r="P19" s="49"/>
      <c r="Q19" s="50">
        <f t="shared" si="6"/>
        <v>0</v>
      </c>
      <c r="R19" s="50"/>
      <c r="S19" s="38">
        <f t="shared" si="11"/>
        <v>45</v>
      </c>
      <c r="T19" s="49">
        <f t="shared" si="7"/>
        <v>-49</v>
      </c>
      <c r="U19" s="49"/>
      <c r="V19" s="50">
        <f t="shared" si="8"/>
        <v>0</v>
      </c>
      <c r="W19" s="38"/>
    </row>
    <row r="20" spans="1:23" x14ac:dyDescent="0.2">
      <c r="A20" s="71">
        <v>9</v>
      </c>
      <c r="B20" s="57">
        <f t="shared" si="0"/>
        <v>-301</v>
      </c>
      <c r="C20" s="55"/>
      <c r="D20" s="38">
        <v>7</v>
      </c>
      <c r="E20" s="49">
        <f t="shared" si="1"/>
        <v>-315</v>
      </c>
      <c r="F20" s="49"/>
      <c r="G20" s="50">
        <f t="shared" si="2"/>
        <v>0</v>
      </c>
      <c r="H20" s="50"/>
      <c r="I20" s="38">
        <f t="shared" si="9"/>
        <v>20</v>
      </c>
      <c r="J20" s="49">
        <f t="shared" si="3"/>
        <v>-224</v>
      </c>
      <c r="K20" s="49"/>
      <c r="L20" s="50">
        <f t="shared" si="4"/>
        <v>0</v>
      </c>
      <c r="M20" s="50"/>
      <c r="N20" s="38">
        <f t="shared" si="10"/>
        <v>33</v>
      </c>
      <c r="O20" s="49">
        <f t="shared" si="5"/>
        <v>-133</v>
      </c>
      <c r="P20" s="49"/>
      <c r="Q20" s="50">
        <f t="shared" si="6"/>
        <v>0</v>
      </c>
      <c r="R20" s="50"/>
      <c r="S20" s="38">
        <f t="shared" si="11"/>
        <v>46</v>
      </c>
      <c r="T20" s="49">
        <f t="shared" si="7"/>
        <v>-42</v>
      </c>
      <c r="U20" s="49"/>
      <c r="V20" s="50">
        <f t="shared" si="8"/>
        <v>0</v>
      </c>
      <c r="W20" s="38"/>
    </row>
    <row r="21" spans="1:23" x14ac:dyDescent="0.2">
      <c r="A21" s="71">
        <v>10</v>
      </c>
      <c r="B21" s="57">
        <f t="shared" si="0"/>
        <v>-294</v>
      </c>
      <c r="C21" s="55"/>
      <c r="D21" s="38">
        <v>8</v>
      </c>
      <c r="E21" s="49">
        <f t="shared" si="1"/>
        <v>-308</v>
      </c>
      <c r="F21" s="49"/>
      <c r="G21" s="50">
        <f t="shared" si="2"/>
        <v>0</v>
      </c>
      <c r="H21" s="50"/>
      <c r="I21" s="38">
        <f t="shared" si="9"/>
        <v>21</v>
      </c>
      <c r="J21" s="49">
        <f t="shared" si="3"/>
        <v>-217</v>
      </c>
      <c r="K21" s="49"/>
      <c r="L21" s="50">
        <f t="shared" si="4"/>
        <v>0</v>
      </c>
      <c r="M21" s="50"/>
      <c r="N21" s="38">
        <f t="shared" si="10"/>
        <v>34</v>
      </c>
      <c r="O21" s="49">
        <f t="shared" si="5"/>
        <v>-126</v>
      </c>
      <c r="P21" s="49"/>
      <c r="Q21" s="50">
        <f t="shared" si="6"/>
        <v>0</v>
      </c>
      <c r="R21" s="50"/>
      <c r="S21" s="38">
        <f t="shared" si="11"/>
        <v>47</v>
      </c>
      <c r="T21" s="49">
        <f t="shared" si="7"/>
        <v>-35</v>
      </c>
      <c r="U21" s="49"/>
      <c r="V21" s="50">
        <f t="shared" si="8"/>
        <v>0</v>
      </c>
      <c r="W21" s="38"/>
    </row>
    <row r="22" spans="1:23" x14ac:dyDescent="0.2">
      <c r="A22" s="71">
        <v>11</v>
      </c>
      <c r="B22" s="57">
        <f t="shared" si="0"/>
        <v>-287</v>
      </c>
      <c r="C22" s="55"/>
      <c r="D22" s="38">
        <v>9</v>
      </c>
      <c r="E22" s="49">
        <f t="shared" si="1"/>
        <v>-301</v>
      </c>
      <c r="F22" s="49"/>
      <c r="G22" s="50">
        <f t="shared" si="2"/>
        <v>0</v>
      </c>
      <c r="H22" s="50"/>
      <c r="I22" s="38">
        <f t="shared" si="9"/>
        <v>22</v>
      </c>
      <c r="J22" s="49">
        <f t="shared" si="3"/>
        <v>-210</v>
      </c>
      <c r="K22" s="49"/>
      <c r="L22" s="50">
        <f t="shared" si="4"/>
        <v>0</v>
      </c>
      <c r="M22" s="50"/>
      <c r="N22" s="38">
        <f t="shared" si="10"/>
        <v>35</v>
      </c>
      <c r="O22" s="49">
        <f t="shared" si="5"/>
        <v>-119</v>
      </c>
      <c r="P22" s="49"/>
      <c r="Q22" s="50">
        <f t="shared" si="6"/>
        <v>0</v>
      </c>
      <c r="R22" s="50"/>
      <c r="S22" s="38">
        <f t="shared" si="11"/>
        <v>48</v>
      </c>
      <c r="T22" s="49">
        <f t="shared" si="7"/>
        <v>-28</v>
      </c>
      <c r="U22" s="49"/>
      <c r="V22" s="50">
        <f t="shared" si="8"/>
        <v>0</v>
      </c>
      <c r="W22" s="38"/>
    </row>
    <row r="23" spans="1:23" x14ac:dyDescent="0.2">
      <c r="A23" s="71">
        <v>12</v>
      </c>
      <c r="B23" s="57">
        <f t="shared" si="0"/>
        <v>-280</v>
      </c>
      <c r="C23" s="55"/>
      <c r="D23" s="38">
        <v>10</v>
      </c>
      <c r="E23" s="49">
        <f t="shared" si="1"/>
        <v>-294</v>
      </c>
      <c r="F23" s="49"/>
      <c r="G23" s="50">
        <f t="shared" si="2"/>
        <v>0</v>
      </c>
      <c r="H23" s="50"/>
      <c r="I23" s="38">
        <f t="shared" si="9"/>
        <v>23</v>
      </c>
      <c r="J23" s="49">
        <f t="shared" si="3"/>
        <v>-203</v>
      </c>
      <c r="K23" s="49"/>
      <c r="L23" s="50">
        <f t="shared" si="4"/>
        <v>0</v>
      </c>
      <c r="M23" s="50"/>
      <c r="N23" s="38">
        <f t="shared" si="10"/>
        <v>36</v>
      </c>
      <c r="O23" s="49">
        <f t="shared" si="5"/>
        <v>-112</v>
      </c>
      <c r="P23" s="49"/>
      <c r="Q23" s="50">
        <f t="shared" si="6"/>
        <v>0</v>
      </c>
      <c r="R23" s="50"/>
      <c r="S23" s="38">
        <f t="shared" si="11"/>
        <v>49</v>
      </c>
      <c r="T23" s="49">
        <f t="shared" si="7"/>
        <v>-21</v>
      </c>
      <c r="U23" s="49"/>
      <c r="V23" s="50">
        <f t="shared" si="8"/>
        <v>0</v>
      </c>
      <c r="W23" s="38"/>
    </row>
    <row r="24" spans="1:23" x14ac:dyDescent="0.2">
      <c r="A24" s="71">
        <v>13</v>
      </c>
      <c r="B24" s="57">
        <f t="shared" si="0"/>
        <v>-273</v>
      </c>
      <c r="C24" s="55"/>
      <c r="D24" s="38">
        <v>11</v>
      </c>
      <c r="E24" s="49">
        <f t="shared" si="1"/>
        <v>-287</v>
      </c>
      <c r="F24" s="49"/>
      <c r="G24" s="50">
        <f t="shared" si="2"/>
        <v>0</v>
      </c>
      <c r="H24" s="50"/>
      <c r="I24" s="38">
        <f t="shared" si="9"/>
        <v>24</v>
      </c>
      <c r="J24" s="49">
        <f t="shared" si="3"/>
        <v>-196</v>
      </c>
      <c r="K24" s="49"/>
      <c r="L24" s="50">
        <f t="shared" si="4"/>
        <v>0</v>
      </c>
      <c r="M24" s="50"/>
      <c r="N24" s="38">
        <f t="shared" si="10"/>
        <v>37</v>
      </c>
      <c r="O24" s="49">
        <f t="shared" si="5"/>
        <v>-105</v>
      </c>
      <c r="P24" s="49"/>
      <c r="Q24" s="50">
        <f t="shared" si="6"/>
        <v>0</v>
      </c>
      <c r="R24" s="50"/>
      <c r="S24" s="38">
        <f t="shared" si="11"/>
        <v>50</v>
      </c>
      <c r="T24" s="49">
        <f t="shared" si="7"/>
        <v>-14</v>
      </c>
      <c r="U24" s="49"/>
      <c r="V24" s="50">
        <f t="shared" si="8"/>
        <v>0</v>
      </c>
      <c r="W24" s="38"/>
    </row>
    <row r="25" spans="1:23" x14ac:dyDescent="0.2">
      <c r="A25" s="71">
        <v>14</v>
      </c>
      <c r="B25" s="57">
        <f t="shared" si="0"/>
        <v>-266</v>
      </c>
      <c r="C25" s="55"/>
      <c r="D25" s="38">
        <v>12</v>
      </c>
      <c r="E25" s="49">
        <f t="shared" si="1"/>
        <v>-280</v>
      </c>
      <c r="F25" s="49"/>
      <c r="G25" s="50">
        <f t="shared" si="2"/>
        <v>0</v>
      </c>
      <c r="H25" s="50"/>
      <c r="I25" s="38">
        <f t="shared" si="9"/>
        <v>25</v>
      </c>
      <c r="J25" s="49">
        <f t="shared" si="3"/>
        <v>-189</v>
      </c>
      <c r="K25" s="49"/>
      <c r="L25" s="50">
        <f t="shared" si="4"/>
        <v>0</v>
      </c>
      <c r="M25" s="50"/>
      <c r="N25" s="38">
        <f t="shared" si="10"/>
        <v>38</v>
      </c>
      <c r="O25" s="49">
        <f t="shared" si="5"/>
        <v>-98</v>
      </c>
      <c r="P25" s="49"/>
      <c r="Q25" s="50">
        <f t="shared" si="6"/>
        <v>0</v>
      </c>
      <c r="R25" s="50"/>
      <c r="S25" s="38">
        <f t="shared" si="11"/>
        <v>51</v>
      </c>
      <c r="T25" s="49">
        <f t="shared" si="7"/>
        <v>-7</v>
      </c>
      <c r="U25" s="49"/>
      <c r="V25" s="50">
        <f t="shared" si="8"/>
        <v>0</v>
      </c>
      <c r="W25" s="38"/>
    </row>
    <row r="26" spans="1:23" x14ac:dyDescent="0.2">
      <c r="A26" s="71">
        <v>15</v>
      </c>
      <c r="B26" s="57">
        <f t="shared" si="0"/>
        <v>-259</v>
      </c>
      <c r="C26" s="55"/>
      <c r="D26" s="38">
        <v>13</v>
      </c>
      <c r="E26" s="49">
        <f t="shared" si="1"/>
        <v>-273</v>
      </c>
      <c r="F26" s="49"/>
      <c r="G26" s="50">
        <f t="shared" si="2"/>
        <v>0</v>
      </c>
      <c r="H26" s="50"/>
      <c r="I26" s="38">
        <f t="shared" si="9"/>
        <v>26</v>
      </c>
      <c r="J26" s="49">
        <f t="shared" si="3"/>
        <v>-182</v>
      </c>
      <c r="K26" s="49"/>
      <c r="L26" s="50">
        <f t="shared" si="4"/>
        <v>0</v>
      </c>
      <c r="M26" s="50"/>
      <c r="N26" s="38">
        <f t="shared" si="10"/>
        <v>39</v>
      </c>
      <c r="O26" s="49">
        <f t="shared" si="5"/>
        <v>-91</v>
      </c>
      <c r="P26" s="49"/>
      <c r="Q26" s="50">
        <f t="shared" si="6"/>
        <v>0</v>
      </c>
      <c r="R26" s="50"/>
      <c r="S26" s="38">
        <f t="shared" si="11"/>
        <v>52</v>
      </c>
      <c r="T26" s="49">
        <f t="shared" si="7"/>
        <v>0</v>
      </c>
      <c r="U26" s="49"/>
      <c r="V26" s="50">
        <f t="shared" si="8"/>
        <v>0</v>
      </c>
      <c r="W26" s="38"/>
    </row>
    <row r="27" spans="1:23" x14ac:dyDescent="0.2">
      <c r="A27" s="71">
        <v>16</v>
      </c>
      <c r="B27" s="57">
        <f t="shared" si="0"/>
        <v>-252</v>
      </c>
      <c r="C27" s="55"/>
      <c r="D27" s="38"/>
      <c r="E27" s="38"/>
      <c r="F27" s="38"/>
      <c r="G27" s="38"/>
      <c r="H27" s="38"/>
      <c r="I27" s="38"/>
      <c r="J27" s="38"/>
      <c r="K27" s="38"/>
      <c r="L27" s="38"/>
      <c r="M27" s="38"/>
      <c r="N27" s="38"/>
      <c r="O27" s="38"/>
      <c r="P27" s="38"/>
      <c r="Q27" s="38"/>
      <c r="R27" s="38"/>
      <c r="S27" s="38"/>
      <c r="T27" s="38"/>
      <c r="U27" s="38"/>
      <c r="V27" s="38"/>
      <c r="W27" s="38"/>
    </row>
    <row r="28" spans="1:23" x14ac:dyDescent="0.2">
      <c r="A28" s="71">
        <v>17</v>
      </c>
      <c r="B28" s="57">
        <f t="shared" si="0"/>
        <v>-245</v>
      </c>
      <c r="C28" s="55"/>
      <c r="D28" s="38"/>
      <c r="E28" s="51" t="s">
        <v>7</v>
      </c>
      <c r="F28" s="51"/>
      <c r="G28" s="50">
        <f>SUM(G14:G26)</f>
        <v>0</v>
      </c>
      <c r="H28" s="50"/>
      <c r="I28" s="50"/>
      <c r="J28" s="50"/>
      <c r="K28" s="51"/>
      <c r="L28" s="50">
        <f>SUM(L14:L26)</f>
        <v>0</v>
      </c>
      <c r="M28" s="50"/>
      <c r="N28" s="50"/>
      <c r="O28" s="50"/>
      <c r="P28" s="51"/>
      <c r="Q28" s="50">
        <f>SUM(Q14:Q26)</f>
        <v>0</v>
      </c>
      <c r="R28" s="50"/>
      <c r="S28" s="38"/>
      <c r="T28" s="50"/>
      <c r="U28" s="51"/>
      <c r="V28" s="50">
        <f>SUM(V14:V26)</f>
        <v>0</v>
      </c>
      <c r="W28" s="38"/>
    </row>
    <row r="29" spans="1:23" x14ac:dyDescent="0.2">
      <c r="A29" s="71">
        <v>18</v>
      </c>
      <c r="B29" s="57">
        <f t="shared" si="0"/>
        <v>-238</v>
      </c>
      <c r="C29" s="55"/>
      <c r="D29" s="38"/>
      <c r="E29" s="51" t="s">
        <v>6</v>
      </c>
      <c r="F29" s="51"/>
      <c r="G29" s="52">
        <f>G28/13</f>
        <v>0</v>
      </c>
      <c r="H29" s="50"/>
      <c r="I29" s="50"/>
      <c r="J29" s="50"/>
      <c r="K29" s="51"/>
      <c r="L29" s="52">
        <f>L28/13</f>
        <v>0</v>
      </c>
      <c r="M29" s="50"/>
      <c r="N29" s="50"/>
      <c r="O29" s="50"/>
      <c r="P29" s="51"/>
      <c r="Q29" s="52">
        <f>Q28/13</f>
        <v>0</v>
      </c>
      <c r="R29" s="50"/>
      <c r="S29" s="50"/>
      <c r="T29" s="50"/>
      <c r="U29" s="51"/>
      <c r="V29" s="52">
        <f>V28/13</f>
        <v>0</v>
      </c>
      <c r="W29" s="38"/>
    </row>
    <row r="30" spans="1:23" x14ac:dyDescent="0.2">
      <c r="A30" s="71">
        <v>19</v>
      </c>
      <c r="B30" s="57">
        <f t="shared" si="0"/>
        <v>-231</v>
      </c>
      <c r="C30" s="55"/>
      <c r="D30" s="38"/>
      <c r="E30" s="38"/>
      <c r="F30" s="38"/>
      <c r="G30" s="38"/>
      <c r="H30" s="38"/>
      <c r="I30" s="38"/>
      <c r="J30" s="83"/>
      <c r="K30" s="83"/>
      <c r="L30" s="83"/>
      <c r="M30" s="83"/>
      <c r="N30" s="75"/>
      <c r="O30" s="75"/>
      <c r="P30" s="38"/>
      <c r="Q30" s="75"/>
      <c r="R30" s="75"/>
      <c r="S30" s="76"/>
      <c r="T30" s="38"/>
      <c r="U30" s="38"/>
      <c r="V30" s="38"/>
      <c r="W30" s="38"/>
    </row>
    <row r="31" spans="1:23" x14ac:dyDescent="0.2">
      <c r="A31" s="71">
        <v>20</v>
      </c>
      <c r="B31" s="57">
        <f t="shared" si="0"/>
        <v>-224</v>
      </c>
      <c r="C31" s="55"/>
      <c r="D31" s="38"/>
      <c r="E31" s="51" t="s">
        <v>10</v>
      </c>
      <c r="F31" s="51"/>
      <c r="G31" s="50">
        <f>MIN(G29, L29, Q29, V29)</f>
        <v>0</v>
      </c>
      <c r="H31" s="76"/>
      <c r="I31" s="83"/>
      <c r="J31" s="39" t="b">
        <f>AND($C$10=2011,$G$33&gt;1286)</f>
        <v>0</v>
      </c>
      <c r="K31" s="85"/>
      <c r="L31" s="40">
        <f>J31*858</f>
        <v>0</v>
      </c>
      <c r="M31" s="90"/>
      <c r="N31" s="75"/>
      <c r="O31" s="75"/>
      <c r="P31" s="86"/>
      <c r="Q31" s="87"/>
      <c r="R31" s="75"/>
      <c r="S31" s="75"/>
      <c r="T31" s="38"/>
      <c r="U31" s="51"/>
      <c r="V31" s="38"/>
      <c r="W31" s="38"/>
    </row>
    <row r="32" spans="1:23" x14ac:dyDescent="0.2">
      <c r="A32" s="71">
        <v>21</v>
      </c>
      <c r="B32" s="57">
        <f t="shared" si="0"/>
        <v>-217</v>
      </c>
      <c r="C32" s="55"/>
      <c r="D32" s="38"/>
      <c r="E32" s="51" t="s">
        <v>8</v>
      </c>
      <c r="F32" s="51"/>
      <c r="G32" s="50">
        <f>(G29+L29+Q29+V29)-G31</f>
        <v>0</v>
      </c>
      <c r="H32" s="76"/>
      <c r="I32" s="83"/>
      <c r="J32" s="39" t="b">
        <f>AND($C$10=2011,1286&gt;=$G$33,643.51&lt;=$G$33)</f>
        <v>0</v>
      </c>
      <c r="K32" s="85"/>
      <c r="L32" s="40">
        <f>J32*$G$33*(2/3)</f>
        <v>0</v>
      </c>
      <c r="M32" s="90"/>
      <c r="N32" s="75"/>
      <c r="O32" s="75"/>
      <c r="P32" s="86"/>
      <c r="Q32" s="87"/>
      <c r="R32" s="75"/>
      <c r="S32" s="75"/>
      <c r="T32" s="38"/>
      <c r="U32" s="51"/>
      <c r="V32" s="38"/>
      <c r="W32" s="38"/>
    </row>
    <row r="33" spans="1:23" x14ac:dyDescent="0.2">
      <c r="A33" s="71">
        <v>22</v>
      </c>
      <c r="B33" s="57">
        <f t="shared" si="0"/>
        <v>-210</v>
      </c>
      <c r="C33" s="55"/>
      <c r="D33" s="38"/>
      <c r="E33" s="51" t="s">
        <v>9</v>
      </c>
      <c r="F33" s="51"/>
      <c r="G33" s="52">
        <f>(G32/3)+(C65/52)</f>
        <v>0</v>
      </c>
      <c r="H33" s="76"/>
      <c r="I33" s="83"/>
      <c r="J33" s="39" t="b">
        <f>AND($C$10=2011,643.5&gt;=$G$33,476.67&lt;=$G$33)</f>
        <v>0</v>
      </c>
      <c r="K33" s="85"/>
      <c r="L33" s="40">
        <f>J33*429</f>
        <v>0</v>
      </c>
      <c r="M33" s="90"/>
      <c r="N33" s="75"/>
      <c r="O33" s="75"/>
      <c r="P33" s="86"/>
      <c r="Q33" s="87"/>
      <c r="R33" s="75"/>
      <c r="S33" s="75"/>
      <c r="T33" s="38"/>
      <c r="U33" s="51"/>
      <c r="V33" s="38"/>
      <c r="W33" s="38"/>
    </row>
    <row r="34" spans="1:23" x14ac:dyDescent="0.2">
      <c r="A34" s="71">
        <v>23</v>
      </c>
      <c r="B34" s="57">
        <f t="shared" si="0"/>
        <v>-203</v>
      </c>
      <c r="C34" s="55"/>
      <c r="D34" s="38"/>
      <c r="E34" s="51" t="s">
        <v>88</v>
      </c>
      <c r="F34" s="51"/>
      <c r="G34" s="50">
        <f>SUM(L31:L58)</f>
        <v>0</v>
      </c>
      <c r="H34" s="76"/>
      <c r="I34" s="83"/>
      <c r="J34" s="39" t="b">
        <f>AND($C$10=2011,$G$33&lt;476.67)</f>
        <v>0</v>
      </c>
      <c r="K34" s="85"/>
      <c r="L34" s="40">
        <f>J34*$G$33*0.9</f>
        <v>0</v>
      </c>
      <c r="M34" s="90"/>
      <c r="N34" s="75"/>
      <c r="O34" s="75"/>
      <c r="P34" s="86"/>
      <c r="Q34" s="87"/>
      <c r="R34" s="75"/>
      <c r="S34" s="75"/>
      <c r="T34" s="38"/>
      <c r="U34" s="51"/>
      <c r="V34" s="38"/>
      <c r="W34" s="38"/>
    </row>
    <row r="35" spans="1:23" x14ac:dyDescent="0.2">
      <c r="A35" s="71">
        <v>24</v>
      </c>
      <c r="B35" s="57">
        <f t="shared" si="0"/>
        <v>-196</v>
      </c>
      <c r="C35" s="55"/>
      <c r="D35" s="38"/>
      <c r="E35" s="38"/>
      <c r="F35" s="38"/>
      <c r="G35" s="38"/>
      <c r="H35" s="75"/>
      <c r="I35" s="83"/>
      <c r="J35" s="39" t="b">
        <f>AND($C$10=2010,$G$33&gt;1267.5)</f>
        <v>0</v>
      </c>
      <c r="K35" s="83"/>
      <c r="L35" s="40">
        <f>J35*845</f>
        <v>0</v>
      </c>
      <c r="M35" s="90"/>
      <c r="N35" s="75"/>
      <c r="O35" s="75"/>
      <c r="P35" s="87"/>
      <c r="Q35" s="87"/>
      <c r="R35" s="75"/>
      <c r="S35" s="75"/>
      <c r="T35" s="38"/>
      <c r="U35" s="38"/>
      <c r="V35" s="38"/>
      <c r="W35" s="38"/>
    </row>
    <row r="36" spans="1:23" x14ac:dyDescent="0.2">
      <c r="A36" s="71">
        <v>25</v>
      </c>
      <c r="B36" s="57">
        <f t="shared" si="0"/>
        <v>-189</v>
      </c>
      <c r="C36" s="55"/>
      <c r="D36" s="38"/>
      <c r="E36" s="38"/>
      <c r="F36" s="38"/>
      <c r="G36" s="38"/>
      <c r="H36" s="75"/>
      <c r="I36" s="83"/>
      <c r="J36" s="39" t="b">
        <f>AND($C$10=2010,1267.5&gt;=$G$33,633.76&lt;=$G$33)</f>
        <v>0</v>
      </c>
      <c r="K36" s="83"/>
      <c r="L36" s="40">
        <f>J36*$G$33*(2/3)</f>
        <v>0</v>
      </c>
      <c r="M36" s="90"/>
      <c r="N36" s="95"/>
      <c r="O36" s="75"/>
      <c r="P36" s="87"/>
      <c r="Q36" s="87"/>
      <c r="R36" s="75"/>
      <c r="S36" s="75"/>
      <c r="T36" s="38"/>
      <c r="U36" s="38"/>
      <c r="V36" s="38"/>
      <c r="W36" s="38"/>
    </row>
    <row r="37" spans="1:23" x14ac:dyDescent="0.2">
      <c r="A37" s="71">
        <v>26</v>
      </c>
      <c r="B37" s="57">
        <f t="shared" si="0"/>
        <v>-182</v>
      </c>
      <c r="C37" s="55"/>
      <c r="D37" s="38"/>
      <c r="E37" s="38"/>
      <c r="F37" s="38"/>
      <c r="G37" s="38"/>
      <c r="H37" s="75"/>
      <c r="I37" s="83"/>
      <c r="J37" s="39" t="b">
        <f>AND($C$10=2010,633.75&gt;=$G$33,469.44&lt;=$G$33)</f>
        <v>0</v>
      </c>
      <c r="K37" s="83"/>
      <c r="L37" s="40">
        <f>J37*422.5</f>
        <v>0</v>
      </c>
      <c r="M37" s="90"/>
      <c r="N37" s="95"/>
      <c r="O37" s="75"/>
      <c r="P37" s="87"/>
      <c r="Q37" s="87"/>
      <c r="R37" s="75"/>
      <c r="S37" s="75"/>
      <c r="T37" s="38"/>
      <c r="U37" s="38"/>
      <c r="V37" s="38"/>
      <c r="W37" s="38"/>
    </row>
    <row r="38" spans="1:23" x14ac:dyDescent="0.2">
      <c r="A38" s="71">
        <v>27</v>
      </c>
      <c r="B38" s="57">
        <f t="shared" si="0"/>
        <v>-175</v>
      </c>
      <c r="C38" s="55"/>
      <c r="D38" s="38"/>
      <c r="E38" s="38"/>
      <c r="F38" s="38"/>
      <c r="G38" s="38"/>
      <c r="H38" s="75"/>
      <c r="I38" s="83"/>
      <c r="J38" s="39" t="b">
        <f>AND($C$10=2010,$G$33&lt;=469.43)</f>
        <v>0</v>
      </c>
      <c r="K38" s="83"/>
      <c r="L38" s="40">
        <f>J38*$G$33*0.9</f>
        <v>0</v>
      </c>
      <c r="M38" s="90"/>
      <c r="N38" s="95"/>
      <c r="O38" s="75"/>
      <c r="P38" s="87"/>
      <c r="Q38" s="87"/>
      <c r="R38" s="75"/>
      <c r="S38" s="75"/>
      <c r="T38" s="38"/>
      <c r="U38" s="38"/>
      <c r="V38" s="38"/>
      <c r="W38" s="38"/>
    </row>
    <row r="39" spans="1:23" x14ac:dyDescent="0.2">
      <c r="A39" s="71">
        <v>28</v>
      </c>
      <c r="B39" s="57">
        <f t="shared" si="0"/>
        <v>-168</v>
      </c>
      <c r="C39" s="55"/>
      <c r="D39" s="38"/>
      <c r="E39" s="38"/>
      <c r="F39" s="38"/>
      <c r="G39" s="38"/>
      <c r="H39" s="75"/>
      <c r="I39" s="83"/>
      <c r="J39" s="39" t="b">
        <f>AND($C$10=2009,$G$33&gt;1254)</f>
        <v>0</v>
      </c>
      <c r="K39" s="83"/>
      <c r="L39" s="40">
        <f>J39*836</f>
        <v>0</v>
      </c>
      <c r="M39" s="90"/>
      <c r="N39" s="95"/>
      <c r="O39" s="75"/>
      <c r="P39" s="87"/>
      <c r="Q39" s="87"/>
      <c r="R39" s="75"/>
      <c r="S39" s="75"/>
      <c r="T39" s="38"/>
      <c r="U39" s="38"/>
      <c r="V39" s="38"/>
      <c r="W39" s="38"/>
    </row>
    <row r="40" spans="1:23" x14ac:dyDescent="0.2">
      <c r="A40" s="71">
        <v>29</v>
      </c>
      <c r="B40" s="57">
        <f t="shared" si="0"/>
        <v>-161</v>
      </c>
      <c r="C40" s="55"/>
      <c r="D40" s="38"/>
      <c r="E40" s="38"/>
      <c r="F40" s="38"/>
      <c r="G40" s="38"/>
      <c r="H40" s="75"/>
      <c r="I40" s="83"/>
      <c r="J40" s="39" t="b">
        <f>AND($C$10=2009,1254&gt;=$G$33,627.01&lt;=$G$33)</f>
        <v>0</v>
      </c>
      <c r="K40" s="83"/>
      <c r="L40" s="40">
        <f>J40*$G$33*(2/3)</f>
        <v>0</v>
      </c>
      <c r="M40" s="90"/>
      <c r="N40" s="95"/>
      <c r="O40" s="75"/>
      <c r="P40" s="87"/>
      <c r="Q40" s="87"/>
      <c r="R40" s="75"/>
      <c r="S40" s="75"/>
      <c r="T40" s="38"/>
      <c r="U40" s="38"/>
      <c r="V40" s="38"/>
      <c r="W40" s="38"/>
    </row>
    <row r="41" spans="1:23" x14ac:dyDescent="0.2">
      <c r="A41" s="71">
        <v>30</v>
      </c>
      <c r="B41" s="57">
        <f t="shared" si="0"/>
        <v>-154</v>
      </c>
      <c r="C41" s="55"/>
      <c r="D41" s="38"/>
      <c r="E41" s="38"/>
      <c r="F41" s="38"/>
      <c r="G41" s="38"/>
      <c r="H41" s="75"/>
      <c r="I41" s="83"/>
      <c r="J41" s="39" t="b">
        <f>AND($C$10=2009,627&gt;=$G$33,464.44&lt;=$G$33)</f>
        <v>0</v>
      </c>
      <c r="K41" s="83"/>
      <c r="L41" s="40">
        <f>J41*418</f>
        <v>0</v>
      </c>
      <c r="M41" s="90"/>
      <c r="N41" s="95"/>
      <c r="O41" s="75"/>
      <c r="P41" s="87"/>
      <c r="Q41" s="87"/>
      <c r="R41" s="75"/>
      <c r="S41" s="75"/>
      <c r="T41" s="38"/>
      <c r="U41" s="38"/>
      <c r="V41" s="38"/>
      <c r="W41" s="38"/>
    </row>
    <row r="42" spans="1:23" x14ac:dyDescent="0.2">
      <c r="A42" s="71">
        <v>31</v>
      </c>
      <c r="B42" s="57">
        <f t="shared" si="0"/>
        <v>-147</v>
      </c>
      <c r="C42" s="55"/>
      <c r="D42" s="38"/>
      <c r="E42" s="38"/>
      <c r="F42" s="38"/>
      <c r="G42" s="38"/>
      <c r="H42" s="75"/>
      <c r="I42" s="83"/>
      <c r="J42" s="39" t="b">
        <f>AND($C$10=2009,$G$33&lt;=464.43)</f>
        <v>0</v>
      </c>
      <c r="K42" s="83"/>
      <c r="L42" s="40">
        <f>J42*$G$33*0.9</f>
        <v>0</v>
      </c>
      <c r="M42" s="90"/>
      <c r="N42" s="95"/>
      <c r="O42" s="75"/>
      <c r="P42" s="87"/>
      <c r="Q42" s="87"/>
      <c r="R42" s="75"/>
      <c r="S42" s="75"/>
      <c r="T42" s="38"/>
      <c r="U42" s="38"/>
      <c r="V42" s="38"/>
      <c r="W42" s="38"/>
    </row>
    <row r="43" spans="1:23" x14ac:dyDescent="0.2">
      <c r="A43" s="71">
        <v>32</v>
      </c>
      <c r="B43" s="57">
        <f t="shared" si="0"/>
        <v>-140</v>
      </c>
      <c r="C43" s="55"/>
      <c r="D43" s="38"/>
      <c r="E43" s="38"/>
      <c r="F43" s="38"/>
      <c r="G43" s="38"/>
      <c r="H43" s="75"/>
      <c r="I43" s="83"/>
      <c r="J43" s="39" t="b">
        <f>AND($C$10=2008,$G$33&gt;1210.5)</f>
        <v>0</v>
      </c>
      <c r="K43" s="83"/>
      <c r="L43" s="40">
        <f>J43*807</f>
        <v>0</v>
      </c>
      <c r="M43" s="90"/>
      <c r="N43" s="75"/>
      <c r="O43" s="75"/>
      <c r="P43" s="87"/>
      <c r="Q43" s="87"/>
      <c r="R43" s="75"/>
      <c r="S43" s="75"/>
      <c r="T43" s="38"/>
      <c r="U43" s="38"/>
      <c r="V43" s="38"/>
      <c r="W43" s="38"/>
    </row>
    <row r="44" spans="1:23" x14ac:dyDescent="0.2">
      <c r="A44" s="71">
        <v>33</v>
      </c>
      <c r="B44" s="57">
        <f t="shared" si="0"/>
        <v>-133</v>
      </c>
      <c r="C44" s="55"/>
      <c r="D44" s="38"/>
      <c r="E44" s="38"/>
      <c r="F44" s="38"/>
      <c r="G44" s="38"/>
      <c r="H44" s="75"/>
      <c r="I44" s="83"/>
      <c r="J44" s="39" t="b">
        <f>AND($C$10=2008,1210.5&gt;=$G$33,605.26&lt;=$G$33)</f>
        <v>0</v>
      </c>
      <c r="K44" s="83"/>
      <c r="L44" s="40">
        <f>J44*$G$33*(2/3)</f>
        <v>0</v>
      </c>
      <c r="M44" s="90"/>
      <c r="N44" s="75"/>
      <c r="O44" s="75"/>
      <c r="P44" s="87"/>
      <c r="Q44" s="87"/>
      <c r="R44" s="75"/>
      <c r="S44" s="75"/>
      <c r="T44" s="38"/>
      <c r="U44" s="38"/>
      <c r="V44" s="38"/>
      <c r="W44" s="38"/>
    </row>
    <row r="45" spans="1:23" x14ac:dyDescent="0.2">
      <c r="A45" s="71">
        <v>34</v>
      </c>
      <c r="B45" s="57">
        <f t="shared" si="0"/>
        <v>-126</v>
      </c>
      <c r="C45" s="55"/>
      <c r="D45" s="38"/>
      <c r="E45" s="38"/>
      <c r="F45" s="38"/>
      <c r="G45" s="38"/>
      <c r="H45" s="75"/>
      <c r="I45" s="83"/>
      <c r="J45" s="39" t="b">
        <f>AND($C$10=2008,605.25&gt;=$G$33,448.33&lt;=$G$33)</f>
        <v>0</v>
      </c>
      <c r="K45" s="83"/>
      <c r="L45" s="40">
        <f>J45*403.5</f>
        <v>0</v>
      </c>
      <c r="M45" s="90"/>
      <c r="N45" s="75"/>
      <c r="O45" s="75"/>
      <c r="P45" s="87"/>
      <c r="Q45" s="87"/>
      <c r="R45" s="75"/>
      <c r="S45" s="75"/>
      <c r="T45" s="38"/>
      <c r="U45" s="38"/>
      <c r="V45" s="38"/>
      <c r="W45" s="38"/>
    </row>
    <row r="46" spans="1:23" x14ac:dyDescent="0.2">
      <c r="A46" s="71">
        <v>35</v>
      </c>
      <c r="B46" s="57">
        <f t="shared" si="0"/>
        <v>-119</v>
      </c>
      <c r="C46" s="55"/>
      <c r="D46" s="38"/>
      <c r="E46" s="38"/>
      <c r="F46" s="38"/>
      <c r="G46" s="38"/>
      <c r="H46" s="75"/>
      <c r="I46" s="83"/>
      <c r="J46" s="39" t="b">
        <f>AND($C$10=2008,$G$33&lt;=448.32)</f>
        <v>0</v>
      </c>
      <c r="K46" s="83"/>
      <c r="L46" s="40">
        <f>J46*$G$33*0.9</f>
        <v>0</v>
      </c>
      <c r="M46" s="90"/>
      <c r="N46" s="75"/>
      <c r="O46" s="75"/>
      <c r="P46" s="87"/>
      <c r="Q46" s="87"/>
      <c r="R46" s="75"/>
      <c r="S46" s="75"/>
      <c r="T46" s="38"/>
      <c r="U46" s="38"/>
      <c r="V46" s="38"/>
      <c r="W46" s="38"/>
    </row>
    <row r="47" spans="1:23" x14ac:dyDescent="0.2">
      <c r="A47" s="71">
        <v>36</v>
      </c>
      <c r="B47" s="57">
        <f t="shared" si="0"/>
        <v>-112</v>
      </c>
      <c r="C47" s="55"/>
      <c r="D47" s="38"/>
      <c r="E47" s="38"/>
      <c r="F47" s="38"/>
      <c r="G47" s="38"/>
      <c r="H47" s="75"/>
      <c r="I47" s="83"/>
      <c r="J47" s="39" t="b">
        <f>AND($C$10=2012,$G$33&gt;1332)</f>
        <v>0</v>
      </c>
      <c r="K47" s="83"/>
      <c r="L47" s="40">
        <f>J47*888</f>
        <v>0</v>
      </c>
      <c r="M47" s="90"/>
      <c r="N47" s="75"/>
      <c r="O47" s="75"/>
      <c r="P47" s="87"/>
      <c r="Q47" s="87"/>
      <c r="R47" s="75"/>
      <c r="S47" s="75"/>
      <c r="T47" s="38"/>
      <c r="U47" s="38"/>
      <c r="V47" s="38"/>
      <c r="W47" s="38"/>
    </row>
    <row r="48" spans="1:23" x14ac:dyDescent="0.2">
      <c r="A48" s="71">
        <v>37</v>
      </c>
      <c r="B48" s="57">
        <f t="shared" si="0"/>
        <v>-105</v>
      </c>
      <c r="C48" s="55"/>
      <c r="D48" s="38"/>
      <c r="E48" s="38"/>
      <c r="F48" s="38"/>
      <c r="G48" s="38"/>
      <c r="H48" s="75"/>
      <c r="I48" s="83"/>
      <c r="J48" s="39" t="b">
        <f>AND($C$10=2012,1332&gt;=$G$33,666.01&lt;=$G$33)</f>
        <v>0</v>
      </c>
      <c r="K48" s="83"/>
      <c r="L48" s="40">
        <f>J48*$G$33*(2/3)</f>
        <v>0</v>
      </c>
      <c r="M48" s="90"/>
      <c r="N48" s="75"/>
      <c r="O48" s="75"/>
      <c r="P48" s="87"/>
      <c r="Q48" s="87"/>
      <c r="R48" s="75"/>
      <c r="S48" s="75"/>
      <c r="T48" s="38"/>
      <c r="U48" s="38"/>
      <c r="V48" s="38"/>
      <c r="W48" s="38"/>
    </row>
    <row r="49" spans="1:23" x14ac:dyDescent="0.2">
      <c r="A49" s="71">
        <v>38</v>
      </c>
      <c r="B49" s="57">
        <f t="shared" si="0"/>
        <v>-98</v>
      </c>
      <c r="C49" s="55"/>
      <c r="D49" s="38"/>
      <c r="E49" s="38"/>
      <c r="F49" s="38"/>
      <c r="G49" s="38"/>
      <c r="H49" s="75"/>
      <c r="I49" s="83"/>
      <c r="J49" s="39" t="b">
        <f>AND($C$10=2012,666&gt;=$G$33,493.33&lt;=$G$33)</f>
        <v>0</v>
      </c>
      <c r="K49" s="83"/>
      <c r="L49" s="40">
        <f>J49*444</f>
        <v>0</v>
      </c>
      <c r="M49" s="90"/>
      <c r="N49" s="75"/>
      <c r="O49" s="75"/>
      <c r="P49" s="87"/>
      <c r="Q49" s="87"/>
      <c r="R49" s="75"/>
      <c r="S49" s="75"/>
      <c r="T49" s="38"/>
      <c r="U49" s="38"/>
      <c r="V49" s="38"/>
      <c r="W49" s="38"/>
    </row>
    <row r="50" spans="1:23" x14ac:dyDescent="0.2">
      <c r="A50" s="71">
        <v>39</v>
      </c>
      <c r="B50" s="57">
        <f t="shared" si="0"/>
        <v>-91</v>
      </c>
      <c r="C50" s="55"/>
      <c r="D50" s="38"/>
      <c r="E50" s="38"/>
      <c r="F50" s="38"/>
      <c r="G50" s="38"/>
      <c r="H50" s="75"/>
      <c r="I50" s="83"/>
      <c r="J50" s="39" t="b">
        <f>AND($C$10=2012,$G$33&lt;493.33)</f>
        <v>0</v>
      </c>
      <c r="K50" s="83"/>
      <c r="L50" s="40">
        <f>J50*$G$33*0.9</f>
        <v>0</v>
      </c>
      <c r="M50" s="90"/>
      <c r="N50" s="75"/>
      <c r="O50" s="75"/>
      <c r="P50" s="87"/>
      <c r="Q50" s="87"/>
      <c r="R50" s="75"/>
      <c r="S50" s="75"/>
      <c r="T50" s="38"/>
      <c r="U50" s="38"/>
      <c r="V50" s="38"/>
      <c r="W50" s="38"/>
    </row>
    <row r="51" spans="1:23" x14ac:dyDescent="0.2">
      <c r="A51" s="71">
        <v>40</v>
      </c>
      <c r="B51" s="57">
        <f t="shared" si="0"/>
        <v>-84</v>
      </c>
      <c r="C51" s="55"/>
      <c r="D51" s="38"/>
      <c r="E51" s="38"/>
      <c r="F51" s="38"/>
      <c r="G51" s="38"/>
      <c r="H51" s="75"/>
      <c r="I51" s="83"/>
      <c r="J51" s="39" t="b">
        <f>AND($C$10=2013,$G$33&gt;1375.5)</f>
        <v>0</v>
      </c>
      <c r="K51" s="83"/>
      <c r="L51" s="40">
        <f>J51*917</f>
        <v>0</v>
      </c>
      <c r="M51" s="90"/>
      <c r="N51" s="75"/>
      <c r="O51" s="75"/>
      <c r="P51" s="87"/>
      <c r="Q51" s="87"/>
      <c r="R51" s="75"/>
      <c r="S51" s="75"/>
      <c r="T51" s="38"/>
      <c r="U51" s="38"/>
      <c r="V51" s="38"/>
      <c r="W51" s="38"/>
    </row>
    <row r="52" spans="1:23" x14ac:dyDescent="0.2">
      <c r="A52" s="71">
        <v>41</v>
      </c>
      <c r="B52" s="57">
        <f t="shared" si="0"/>
        <v>-77</v>
      </c>
      <c r="C52" s="55"/>
      <c r="D52" s="38"/>
      <c r="E52" s="38"/>
      <c r="F52" s="38"/>
      <c r="G52" s="38"/>
      <c r="H52" s="75"/>
      <c r="I52" s="83"/>
      <c r="J52" s="39" t="b">
        <f>AND($C$10=2013,1375.5&gt;=$G$33,687.76&lt;=$G$33)</f>
        <v>0</v>
      </c>
      <c r="K52" s="83"/>
      <c r="L52" s="40">
        <f>J52*$G$33*(2/3)</f>
        <v>0</v>
      </c>
      <c r="M52" s="90"/>
      <c r="N52" s="75"/>
      <c r="O52" s="75"/>
      <c r="P52" s="87"/>
      <c r="Q52" s="87"/>
      <c r="R52" s="75"/>
      <c r="S52" s="75"/>
      <c r="T52" s="38"/>
      <c r="U52" s="38"/>
      <c r="V52" s="38"/>
      <c r="W52" s="38"/>
    </row>
    <row r="53" spans="1:23" x14ac:dyDescent="0.2">
      <c r="A53" s="71">
        <v>42</v>
      </c>
      <c r="B53" s="57">
        <f t="shared" si="0"/>
        <v>-70</v>
      </c>
      <c r="C53" s="55"/>
      <c r="D53" s="38"/>
      <c r="E53" s="38"/>
      <c r="F53" s="38"/>
      <c r="G53" s="38"/>
      <c r="H53" s="75"/>
      <c r="I53" s="83"/>
      <c r="J53" s="39" t="b">
        <f>AND($C$10=2013,687.75&gt;=$G$33,509.44&lt;=$G$33)</f>
        <v>0</v>
      </c>
      <c r="K53" s="83"/>
      <c r="L53" s="40">
        <f>J53*458.5</f>
        <v>0</v>
      </c>
      <c r="M53" s="90"/>
      <c r="N53" s="75"/>
      <c r="O53" s="75"/>
      <c r="P53" s="87"/>
      <c r="Q53" s="87"/>
      <c r="R53" s="75"/>
      <c r="S53" s="75"/>
      <c r="T53" s="38"/>
      <c r="U53" s="38"/>
      <c r="V53" s="38"/>
      <c r="W53" s="38"/>
    </row>
    <row r="54" spans="1:23" x14ac:dyDescent="0.2">
      <c r="A54" s="71">
        <v>43</v>
      </c>
      <c r="B54" s="57">
        <f t="shared" si="0"/>
        <v>-63</v>
      </c>
      <c r="C54" s="55"/>
      <c r="D54" s="38"/>
      <c r="E54" s="38"/>
      <c r="F54" s="38"/>
      <c r="G54" s="38"/>
      <c r="H54" s="75"/>
      <c r="I54" s="83"/>
      <c r="J54" s="39" t="b">
        <f>AND($C$10=2013,$G$33&lt;509.43)</f>
        <v>0</v>
      </c>
      <c r="K54" s="83"/>
      <c r="L54" s="40">
        <f>J54*$G$33*0.9</f>
        <v>0</v>
      </c>
      <c r="M54" s="90"/>
      <c r="N54" s="75"/>
      <c r="O54" s="75"/>
      <c r="P54" s="87"/>
      <c r="Q54" s="87"/>
      <c r="R54" s="75"/>
      <c r="S54" s="75"/>
      <c r="T54" s="38"/>
      <c r="U54" s="38"/>
      <c r="V54" s="38"/>
      <c r="W54" s="38"/>
    </row>
    <row r="55" spans="1:23" x14ac:dyDescent="0.2">
      <c r="A55" s="71">
        <v>44</v>
      </c>
      <c r="B55" s="57">
        <f t="shared" si="0"/>
        <v>-56</v>
      </c>
      <c r="C55" s="55"/>
      <c r="D55" s="38"/>
      <c r="E55" s="38"/>
      <c r="F55" s="38"/>
      <c r="G55" s="38"/>
      <c r="H55" s="75"/>
      <c r="I55" s="75"/>
      <c r="J55" s="39" t="b">
        <f>AND($C$10=2014,$G$33&gt;1398)</f>
        <v>0</v>
      </c>
      <c r="K55" s="83"/>
      <c r="L55" s="40">
        <f>J55*932</f>
        <v>0</v>
      </c>
      <c r="M55" s="90"/>
      <c r="N55" s="75"/>
      <c r="O55" s="75"/>
      <c r="P55" s="87"/>
      <c r="Q55" s="87"/>
      <c r="R55" s="75"/>
      <c r="S55" s="75"/>
      <c r="T55" s="38"/>
      <c r="U55" s="38"/>
      <c r="V55" s="38"/>
      <c r="W55" s="38"/>
    </row>
    <row r="56" spans="1:23" x14ac:dyDescent="0.2">
      <c r="A56" s="71">
        <v>45</v>
      </c>
      <c r="B56" s="57">
        <f t="shared" si="0"/>
        <v>-49</v>
      </c>
      <c r="C56" s="55"/>
      <c r="D56" s="38"/>
      <c r="E56" s="38"/>
      <c r="F56" s="38"/>
      <c r="G56" s="38"/>
      <c r="H56" s="75"/>
      <c r="I56" s="75"/>
      <c r="J56" s="39" t="b">
        <f>AND($C$10=2014,1398&gt;=$G$33,699.01&lt;=$G$33)</f>
        <v>0</v>
      </c>
      <c r="K56" s="83"/>
      <c r="L56" s="40">
        <f>J56*$G$33*(2/3)</f>
        <v>0</v>
      </c>
      <c r="M56" s="90"/>
      <c r="N56" s="75"/>
      <c r="O56" s="75"/>
      <c r="P56" s="87"/>
      <c r="Q56" s="87"/>
      <c r="R56" s="75"/>
      <c r="S56" s="75"/>
      <c r="T56" s="38"/>
      <c r="U56" s="38"/>
      <c r="V56" s="38"/>
      <c r="W56" s="38"/>
    </row>
    <row r="57" spans="1:23" x14ac:dyDescent="0.2">
      <c r="A57" s="71">
        <v>46</v>
      </c>
      <c r="B57" s="57">
        <f t="shared" si="0"/>
        <v>-42</v>
      </c>
      <c r="C57" s="55"/>
      <c r="D57" s="38"/>
      <c r="E57" s="38"/>
      <c r="F57" s="38"/>
      <c r="G57" s="38"/>
      <c r="H57" s="75"/>
      <c r="I57" s="75"/>
      <c r="J57" s="39" t="b">
        <f>AND($C$10=2014,699&gt;=$G$33,517.78&lt;=$G$33)</f>
        <v>0</v>
      </c>
      <c r="K57" s="83"/>
      <c r="L57" s="40">
        <f>J57*466</f>
        <v>0</v>
      </c>
      <c r="M57" s="90"/>
      <c r="N57" s="75"/>
      <c r="O57" s="75"/>
      <c r="P57" s="87"/>
      <c r="Q57" s="87"/>
      <c r="R57" s="38"/>
      <c r="S57" s="38"/>
      <c r="T57" s="38"/>
      <c r="U57" s="38"/>
      <c r="V57" s="38"/>
      <c r="W57" s="38"/>
    </row>
    <row r="58" spans="1:23" x14ac:dyDescent="0.2">
      <c r="A58" s="71">
        <v>47</v>
      </c>
      <c r="B58" s="57">
        <f t="shared" si="0"/>
        <v>-35</v>
      </c>
      <c r="C58" s="55"/>
      <c r="D58" s="38"/>
      <c r="E58" s="38"/>
      <c r="F58" s="38"/>
      <c r="G58" s="38"/>
      <c r="H58" s="75"/>
      <c r="I58" s="75"/>
      <c r="J58" s="39" t="b">
        <f>AND($C$10=2014,$G$33&lt;517.78)</f>
        <v>0</v>
      </c>
      <c r="K58" s="83"/>
      <c r="L58" s="40">
        <f>J58*$G$33*0.9</f>
        <v>0</v>
      </c>
      <c r="M58" s="90"/>
      <c r="N58" s="75"/>
      <c r="O58" s="75"/>
      <c r="P58" s="87"/>
      <c r="Q58" s="87"/>
      <c r="R58" s="38"/>
      <c r="S58" s="38"/>
      <c r="T58" s="38"/>
      <c r="U58" s="38"/>
      <c r="V58" s="38"/>
      <c r="W58" s="38"/>
    </row>
    <row r="59" spans="1:23" x14ac:dyDescent="0.2">
      <c r="A59" s="71">
        <v>48</v>
      </c>
      <c r="B59" s="57">
        <f t="shared" si="0"/>
        <v>-28</v>
      </c>
      <c r="C59" s="55"/>
      <c r="D59" s="38"/>
      <c r="E59" s="38"/>
      <c r="F59" s="38"/>
      <c r="G59" s="38"/>
      <c r="H59" s="38"/>
      <c r="I59" s="38"/>
      <c r="J59" s="83"/>
      <c r="K59" s="83"/>
      <c r="L59" s="90"/>
      <c r="M59" s="90"/>
      <c r="N59" s="75"/>
      <c r="O59" s="75"/>
      <c r="P59" s="87"/>
      <c r="Q59" s="87"/>
      <c r="R59" s="38"/>
      <c r="S59" s="38"/>
      <c r="T59" s="38"/>
      <c r="U59" s="38"/>
      <c r="V59" s="38"/>
      <c r="W59" s="38"/>
    </row>
    <row r="60" spans="1:23" x14ac:dyDescent="0.2">
      <c r="A60" s="71">
        <v>49</v>
      </c>
      <c r="B60" s="57">
        <f t="shared" si="0"/>
        <v>-21</v>
      </c>
      <c r="C60" s="55"/>
      <c r="D60" s="38"/>
      <c r="E60" s="38"/>
      <c r="F60" s="38"/>
      <c r="G60" s="38"/>
      <c r="H60" s="38"/>
      <c r="I60" s="38"/>
      <c r="J60" s="83"/>
      <c r="K60" s="83"/>
      <c r="L60" s="90"/>
      <c r="M60" s="90"/>
      <c r="N60" s="75"/>
      <c r="O60" s="75"/>
      <c r="P60" s="38"/>
      <c r="Q60" s="38"/>
      <c r="R60" s="38"/>
      <c r="S60" s="38"/>
      <c r="T60" s="38"/>
      <c r="U60" s="38"/>
      <c r="V60" s="38"/>
      <c r="W60" s="38"/>
    </row>
    <row r="61" spans="1:23" x14ac:dyDescent="0.2">
      <c r="A61" s="71">
        <v>50</v>
      </c>
      <c r="B61" s="57">
        <f t="shared" si="0"/>
        <v>-14</v>
      </c>
      <c r="C61" s="55"/>
      <c r="D61" s="38"/>
      <c r="E61" s="38"/>
      <c r="F61" s="38"/>
      <c r="G61" s="38"/>
      <c r="H61" s="38"/>
      <c r="I61" s="38"/>
      <c r="J61" s="75"/>
      <c r="K61" s="75"/>
      <c r="L61" s="75"/>
      <c r="M61" s="75"/>
      <c r="N61" s="75"/>
      <c r="O61" s="75"/>
      <c r="P61" s="38"/>
      <c r="Q61" s="38"/>
      <c r="R61" s="38"/>
      <c r="S61" s="38"/>
      <c r="T61" s="38"/>
      <c r="U61" s="38"/>
      <c r="V61" s="38"/>
      <c r="W61" s="38"/>
    </row>
    <row r="62" spans="1:23" x14ac:dyDescent="0.2">
      <c r="A62" s="71">
        <v>51</v>
      </c>
      <c r="B62" s="57">
        <f>B63-7</f>
        <v>-7</v>
      </c>
      <c r="C62" s="55"/>
      <c r="D62" s="38"/>
      <c r="E62" s="38"/>
      <c r="F62" s="38"/>
      <c r="G62" s="38"/>
      <c r="H62" s="38"/>
      <c r="I62" s="38"/>
      <c r="J62" s="75"/>
      <c r="K62" s="75"/>
      <c r="L62" s="75"/>
      <c r="M62" s="75"/>
      <c r="N62" s="75"/>
      <c r="O62" s="75"/>
      <c r="P62" s="38"/>
      <c r="Q62" s="38"/>
      <c r="R62" s="38"/>
      <c r="S62" s="38"/>
      <c r="T62" s="38"/>
      <c r="U62" s="38"/>
      <c r="V62" s="38"/>
      <c r="W62" s="38"/>
    </row>
    <row r="63" spans="1:23" x14ac:dyDescent="0.2">
      <c r="A63" s="46">
        <v>52</v>
      </c>
      <c r="B63" s="56"/>
      <c r="C63" s="55"/>
      <c r="D63" s="38"/>
      <c r="E63" s="38"/>
      <c r="F63" s="38"/>
      <c r="G63" s="38"/>
      <c r="H63" s="38"/>
      <c r="I63" s="38"/>
      <c r="J63" s="38"/>
      <c r="K63" s="38"/>
      <c r="L63" s="38"/>
      <c r="M63" s="38"/>
      <c r="N63" s="38"/>
      <c r="O63" s="38"/>
      <c r="P63" s="38"/>
      <c r="Q63" s="38"/>
      <c r="R63" s="38"/>
      <c r="S63" s="38"/>
      <c r="T63" s="38"/>
      <c r="U63" s="38"/>
      <c r="V63" s="38"/>
      <c r="W63" s="38"/>
    </row>
    <row r="64" spans="1:23" x14ac:dyDescent="0.2">
      <c r="A64" s="71"/>
      <c r="B64" s="49"/>
      <c r="D64" s="38"/>
      <c r="E64" s="38"/>
      <c r="F64" s="38"/>
      <c r="G64" s="38"/>
      <c r="H64" s="38"/>
      <c r="I64" s="38"/>
      <c r="J64" s="38"/>
      <c r="K64" s="38"/>
      <c r="L64" s="38"/>
      <c r="M64" s="38"/>
      <c r="N64" s="38"/>
      <c r="O64" s="38"/>
      <c r="P64" s="38"/>
      <c r="Q64" s="38"/>
      <c r="R64" s="38"/>
      <c r="S64" s="38"/>
      <c r="T64" s="38"/>
      <c r="U64" s="38"/>
      <c r="V64" s="38"/>
      <c r="W64" s="38"/>
    </row>
    <row r="65" spans="1:23" x14ac:dyDescent="0.2">
      <c r="A65" s="71"/>
      <c r="B65" s="74" t="s">
        <v>13</v>
      </c>
      <c r="C65" s="53"/>
      <c r="D65" s="38"/>
      <c r="E65" s="38"/>
      <c r="F65" s="38"/>
      <c r="G65" s="38"/>
      <c r="H65" s="38"/>
      <c r="I65" s="38"/>
      <c r="J65" s="38"/>
      <c r="K65" s="38"/>
      <c r="L65" s="38"/>
      <c r="M65" s="38"/>
      <c r="N65" s="38"/>
      <c r="O65" s="38"/>
      <c r="P65" s="38"/>
      <c r="Q65" s="38"/>
      <c r="R65" s="38"/>
      <c r="S65" s="38"/>
      <c r="T65" s="38"/>
      <c r="U65" s="38"/>
      <c r="V65" s="38"/>
      <c r="W65" s="38"/>
    </row>
    <row r="66" spans="1:23" x14ac:dyDescent="0.2">
      <c r="D66" s="38"/>
      <c r="E66" s="38"/>
      <c r="F66" s="38"/>
      <c r="G66" s="38"/>
      <c r="H66" s="38"/>
      <c r="I66" s="38"/>
      <c r="J66" s="38"/>
      <c r="K66" s="38"/>
      <c r="L66" s="38"/>
      <c r="M66" s="38"/>
      <c r="N66" s="38"/>
      <c r="O66" s="38"/>
      <c r="P66" s="38"/>
      <c r="Q66" s="38"/>
      <c r="R66" s="38"/>
      <c r="S66" s="38"/>
      <c r="T66" s="38"/>
      <c r="U66" s="38"/>
      <c r="V66" s="38"/>
      <c r="W66" s="38"/>
    </row>
    <row r="67" spans="1:23" x14ac:dyDescent="0.2">
      <c r="E67" s="38"/>
      <c r="F67" s="38"/>
      <c r="G67" s="38"/>
      <c r="H67" s="38"/>
      <c r="I67" s="38"/>
      <c r="J67" s="38"/>
      <c r="K67" s="38"/>
      <c r="L67" s="38"/>
      <c r="M67" s="38"/>
      <c r="N67" s="38"/>
      <c r="O67" s="38"/>
      <c r="P67" s="38"/>
      <c r="Q67" s="38"/>
      <c r="R67" s="38"/>
      <c r="S67" s="38"/>
      <c r="T67" s="38"/>
      <c r="U67" s="38"/>
      <c r="V67" s="38"/>
    </row>
  </sheetData>
  <sheetProtection sheet="1" objects="1" scenarios="1"/>
  <mergeCells count="1">
    <mergeCell ref="A3:I3"/>
  </mergeCells>
  <phoneticPr fontId="1" type="noConversion"/>
  <pageMargins left="0.75" right="0.75" top="1" bottom="1" header="0.5" footer="0.5"/>
  <pageSetup scale="5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75"/>
  <sheetViews>
    <sheetView workbookViewId="0">
      <selection activeCell="G33" sqref="G33"/>
    </sheetView>
  </sheetViews>
  <sheetFormatPr defaultRowHeight="12.75" x14ac:dyDescent="0.2"/>
  <cols>
    <col min="1" max="1" width="7.28515625" style="27" customWidth="1"/>
    <col min="2" max="2" width="10.7109375" customWidth="1"/>
    <col min="4" max="4" width="12.85546875" customWidth="1"/>
    <col min="5" max="5" width="10.7109375" customWidth="1"/>
    <col min="6" max="6" width="2.28515625" style="36" customWidth="1"/>
    <col min="7" max="7" width="10.7109375" customWidth="1"/>
    <col min="8" max="8" width="4.28515625" customWidth="1"/>
    <col min="10" max="10" width="10.7109375" customWidth="1"/>
    <col min="11" max="11" width="2.28515625" style="36" customWidth="1"/>
    <col min="12" max="12" width="10.7109375" customWidth="1"/>
    <col min="13" max="13" width="4.28515625" customWidth="1"/>
    <col min="15" max="15" width="10.7109375" customWidth="1"/>
    <col min="16" max="16" width="2.28515625" style="36" customWidth="1"/>
    <col min="17" max="17" width="10.7109375" customWidth="1"/>
    <col min="18" max="18" width="4.28515625" customWidth="1"/>
    <col min="20" max="20" width="10.7109375" customWidth="1"/>
    <col min="21" max="21" width="2.28515625" style="36" customWidth="1"/>
    <col min="22" max="22" width="10.7109375" customWidth="1"/>
  </cols>
  <sheetData>
    <row r="1" spans="1:22" x14ac:dyDescent="0.2">
      <c r="A1" s="78" t="s">
        <v>104</v>
      </c>
      <c r="B1" s="80"/>
      <c r="C1" s="80"/>
      <c r="D1" s="80"/>
      <c r="E1" s="80"/>
      <c r="F1" s="80"/>
      <c r="G1" s="80"/>
      <c r="K1" s="80"/>
      <c r="P1" s="80"/>
      <c r="U1" s="80"/>
    </row>
    <row r="2" spans="1:22" x14ac:dyDescent="0.2">
      <c r="A2" s="79" t="s">
        <v>105</v>
      </c>
      <c r="B2" s="81"/>
      <c r="C2" s="81"/>
      <c r="D2" s="81"/>
      <c r="E2" s="81"/>
      <c r="F2" s="81"/>
      <c r="G2" s="81"/>
      <c r="K2" s="81"/>
      <c r="P2" s="81"/>
      <c r="U2" s="81"/>
    </row>
    <row r="3" spans="1:22" ht="18" x14ac:dyDescent="0.25">
      <c r="A3" s="92" t="s">
        <v>12</v>
      </c>
      <c r="B3" s="94"/>
      <c r="C3" s="94"/>
      <c r="D3" s="94"/>
      <c r="E3" s="94"/>
      <c r="F3" s="94"/>
      <c r="G3" s="94"/>
      <c r="H3" s="94"/>
      <c r="I3" s="94"/>
      <c r="K3"/>
      <c r="P3"/>
      <c r="U3"/>
    </row>
    <row r="4" spans="1:22" x14ac:dyDescent="0.2">
      <c r="A4" s="63"/>
      <c r="B4" s="65" t="s">
        <v>91</v>
      </c>
      <c r="C4" s="66" t="s">
        <v>99</v>
      </c>
      <c r="E4" s="64"/>
      <c r="F4" s="84"/>
      <c r="G4" s="64"/>
      <c r="H4" s="64"/>
      <c r="I4" s="64"/>
      <c r="K4" s="84"/>
      <c r="P4" s="84"/>
      <c r="U4" s="84"/>
    </row>
    <row r="5" spans="1:22" x14ac:dyDescent="0.2">
      <c r="A5" s="67"/>
      <c r="B5" s="62"/>
      <c r="C5" s="68" t="s">
        <v>95</v>
      </c>
      <c r="E5" s="64"/>
      <c r="F5" s="84"/>
      <c r="G5" s="64"/>
      <c r="H5" s="64"/>
      <c r="I5" s="64"/>
      <c r="K5" s="84"/>
      <c r="P5" s="84"/>
      <c r="U5" s="84"/>
    </row>
    <row r="6" spans="1:22" x14ac:dyDescent="0.2">
      <c r="A6" s="67"/>
      <c r="B6" s="62"/>
      <c r="C6" s="66" t="s">
        <v>100</v>
      </c>
      <c r="E6" s="37"/>
      <c r="F6" s="38"/>
      <c r="G6" s="37"/>
      <c r="H6" s="37"/>
      <c r="I6" s="37"/>
      <c r="K6" s="38"/>
      <c r="P6" s="38"/>
      <c r="U6" s="38"/>
    </row>
    <row r="7" spans="1:22" x14ac:dyDescent="0.2">
      <c r="A7" s="67"/>
      <c r="B7" s="62"/>
      <c r="C7" s="38" t="s">
        <v>93</v>
      </c>
      <c r="E7" s="37"/>
      <c r="F7" s="38"/>
      <c r="G7" s="37"/>
      <c r="H7" s="37"/>
      <c r="I7" s="37"/>
      <c r="K7" s="38"/>
      <c r="P7" s="38"/>
      <c r="U7" s="38"/>
    </row>
    <row r="8" spans="1:22" x14ac:dyDescent="0.2">
      <c r="A8" s="67"/>
      <c r="B8" s="62"/>
      <c r="C8" s="38" t="s">
        <v>98</v>
      </c>
      <c r="E8" s="62"/>
      <c r="F8" s="38"/>
      <c r="G8" s="62"/>
      <c r="H8" s="62"/>
      <c r="I8" s="62"/>
      <c r="K8" s="38"/>
      <c r="P8" s="38"/>
      <c r="U8" s="38"/>
    </row>
    <row r="9" spans="1:22" x14ac:dyDescent="0.2">
      <c r="A9" s="67"/>
      <c r="B9" s="62"/>
      <c r="C9" s="38" t="s">
        <v>96</v>
      </c>
      <c r="E9" s="62"/>
      <c r="F9" s="38"/>
      <c r="G9" s="62"/>
      <c r="H9" s="62"/>
      <c r="I9" s="62"/>
      <c r="K9" s="38"/>
      <c r="P9" s="38"/>
      <c r="U9" s="38"/>
    </row>
    <row r="10" spans="1:22" x14ac:dyDescent="0.2">
      <c r="B10" s="65" t="s">
        <v>90</v>
      </c>
      <c r="C10" s="59"/>
      <c r="F10" s="38"/>
      <c r="K10" s="38"/>
      <c r="P10" s="38"/>
      <c r="U10" s="38"/>
    </row>
    <row r="11" spans="1:22" s="3" customFormat="1" x14ac:dyDescent="0.2">
      <c r="A11" s="28" t="s">
        <v>62</v>
      </c>
      <c r="B11" s="33" t="s">
        <v>0</v>
      </c>
      <c r="C11" s="34" t="s">
        <v>1</v>
      </c>
      <c r="E11" s="3" t="s">
        <v>2</v>
      </c>
      <c r="F11" s="38"/>
      <c r="J11" s="3" t="s">
        <v>3</v>
      </c>
      <c r="K11" s="38"/>
      <c r="O11" s="3" t="s">
        <v>4</v>
      </c>
      <c r="P11" s="38"/>
      <c r="T11" s="3" t="s">
        <v>5</v>
      </c>
      <c r="U11" s="38"/>
    </row>
    <row r="12" spans="1:22" s="3" customFormat="1" x14ac:dyDescent="0.2">
      <c r="A12" s="29" t="s">
        <v>61</v>
      </c>
      <c r="B12" s="60">
        <f t="shared" ref="B12:B35" si="0">B13-14</f>
        <v>41076</v>
      </c>
      <c r="C12" s="58"/>
      <c r="E12" s="2">
        <f>E14-6</f>
        <v>41070</v>
      </c>
      <c r="F12" s="38" t="s">
        <v>109</v>
      </c>
      <c r="G12" s="2">
        <f>E20-7</f>
        <v>41153</v>
      </c>
      <c r="J12" s="2">
        <f>G12+1</f>
        <v>41154</v>
      </c>
      <c r="K12" s="38" t="s">
        <v>109</v>
      </c>
      <c r="L12" s="2">
        <f>J20</f>
        <v>41244</v>
      </c>
      <c r="O12" s="2">
        <f>J20+1</f>
        <v>41245</v>
      </c>
      <c r="P12" s="38" t="s">
        <v>109</v>
      </c>
      <c r="Q12" s="2">
        <f>O20-7</f>
        <v>41335</v>
      </c>
      <c r="T12" s="2">
        <f>Q12+1</f>
        <v>41336</v>
      </c>
      <c r="U12" s="38" t="s">
        <v>109</v>
      </c>
      <c r="V12" s="2">
        <f>T20</f>
        <v>41426</v>
      </c>
    </row>
    <row r="13" spans="1:22" s="3" customFormat="1" x14ac:dyDescent="0.2">
      <c r="A13" s="28" t="s">
        <v>63</v>
      </c>
      <c r="B13" s="60">
        <f t="shared" si="0"/>
        <v>41090</v>
      </c>
      <c r="C13" s="58"/>
      <c r="E13" s="3" t="s">
        <v>0</v>
      </c>
      <c r="F13" s="38"/>
      <c r="G13" s="3" t="s">
        <v>1</v>
      </c>
      <c r="I13" s="6"/>
      <c r="J13" s="3" t="s">
        <v>0</v>
      </c>
      <c r="K13" s="38"/>
      <c r="L13" s="3" t="s">
        <v>1</v>
      </c>
      <c r="O13" s="3" t="s">
        <v>0</v>
      </c>
      <c r="P13" s="38"/>
      <c r="Q13" s="3" t="s">
        <v>1</v>
      </c>
      <c r="T13" s="3" t="s">
        <v>0</v>
      </c>
      <c r="U13" s="38"/>
      <c r="V13" s="3" t="s">
        <v>1</v>
      </c>
    </row>
    <row r="14" spans="1:22" s="3" customFormat="1" x14ac:dyDescent="0.2">
      <c r="A14" s="28" t="s">
        <v>64</v>
      </c>
      <c r="B14" s="60">
        <f t="shared" si="0"/>
        <v>41104</v>
      </c>
      <c r="C14" s="58"/>
      <c r="D14" s="6" t="s">
        <v>61</v>
      </c>
      <c r="E14" s="2">
        <f>B12</f>
        <v>41076</v>
      </c>
      <c r="F14" s="49"/>
      <c r="G14" s="5">
        <f t="shared" ref="G14:G19" si="1">C12</f>
        <v>0</v>
      </c>
      <c r="H14" s="5"/>
      <c r="I14" s="6">
        <v>14</v>
      </c>
      <c r="J14" s="2">
        <f>B18</f>
        <v>41160</v>
      </c>
      <c r="K14" s="49"/>
      <c r="L14" s="5">
        <f>C18/2</f>
        <v>0</v>
      </c>
      <c r="M14" s="5"/>
      <c r="N14" s="30" t="s">
        <v>75</v>
      </c>
      <c r="O14" s="2">
        <f>B25</f>
        <v>41258</v>
      </c>
      <c r="P14" s="49"/>
      <c r="Q14" s="5">
        <f t="shared" ref="Q14:Q19" si="2">C25</f>
        <v>0</v>
      </c>
      <c r="R14" s="5"/>
      <c r="S14" s="30">
        <v>39</v>
      </c>
      <c r="T14" s="2">
        <f>B31</f>
        <v>41342</v>
      </c>
      <c r="U14" s="49"/>
      <c r="V14" s="5">
        <f>C31/2</f>
        <v>0</v>
      </c>
    </row>
    <row r="15" spans="1:22" s="3" customFormat="1" x14ac:dyDescent="0.2">
      <c r="A15" s="28" t="s">
        <v>65</v>
      </c>
      <c r="B15" s="60">
        <f t="shared" si="0"/>
        <v>41118</v>
      </c>
      <c r="C15" s="58"/>
      <c r="D15" s="6" t="s">
        <v>63</v>
      </c>
      <c r="E15" s="2">
        <f t="shared" ref="E15:E20" si="3">B13</f>
        <v>41090</v>
      </c>
      <c r="F15" s="49"/>
      <c r="G15" s="5">
        <f t="shared" si="1"/>
        <v>0</v>
      </c>
      <c r="H15" s="5"/>
      <c r="I15" s="6" t="s">
        <v>69</v>
      </c>
      <c r="J15" s="2">
        <f t="shared" ref="J15:J20" si="4">B19</f>
        <v>41174</v>
      </c>
      <c r="K15" s="49"/>
      <c r="L15" s="5">
        <f t="shared" ref="L15:L20" si="5">C19</f>
        <v>0</v>
      </c>
      <c r="M15" s="5"/>
      <c r="N15" s="30" t="s">
        <v>76</v>
      </c>
      <c r="O15" s="2">
        <f t="shared" ref="O15:O20" si="6">B26</f>
        <v>41272</v>
      </c>
      <c r="P15" s="49"/>
      <c r="Q15" s="5">
        <f t="shared" si="2"/>
        <v>0</v>
      </c>
      <c r="R15" s="5"/>
      <c r="S15" s="31" t="s">
        <v>82</v>
      </c>
      <c r="T15" s="2">
        <f t="shared" ref="T15:T20" si="7">B32</f>
        <v>41356</v>
      </c>
      <c r="U15" s="49"/>
      <c r="V15" s="5">
        <f t="shared" ref="V15:V20" si="8">C32</f>
        <v>0</v>
      </c>
    </row>
    <row r="16" spans="1:22" s="3" customFormat="1" x14ac:dyDescent="0.2">
      <c r="A16" s="29" t="s">
        <v>66</v>
      </c>
      <c r="B16" s="60">
        <f t="shared" si="0"/>
        <v>41132</v>
      </c>
      <c r="C16" s="58"/>
      <c r="D16" s="6" t="s">
        <v>64</v>
      </c>
      <c r="E16" s="2">
        <f t="shared" si="3"/>
        <v>41104</v>
      </c>
      <c r="F16" s="49"/>
      <c r="G16" s="5">
        <f t="shared" si="1"/>
        <v>0</v>
      </c>
      <c r="H16" s="5"/>
      <c r="I16" s="6" t="s">
        <v>70</v>
      </c>
      <c r="J16" s="2">
        <f t="shared" si="4"/>
        <v>41188</v>
      </c>
      <c r="K16" s="49"/>
      <c r="L16" s="5">
        <f t="shared" si="5"/>
        <v>0</v>
      </c>
      <c r="M16" s="5"/>
      <c r="N16" s="30" t="s">
        <v>77</v>
      </c>
      <c r="O16" s="2">
        <f t="shared" si="6"/>
        <v>41286</v>
      </c>
      <c r="P16" s="49"/>
      <c r="Q16" s="5">
        <f t="shared" si="2"/>
        <v>0</v>
      </c>
      <c r="R16" s="5"/>
      <c r="S16" s="30" t="s">
        <v>83</v>
      </c>
      <c r="T16" s="2">
        <f t="shared" si="7"/>
        <v>41370</v>
      </c>
      <c r="U16" s="49"/>
      <c r="V16" s="5">
        <f t="shared" si="8"/>
        <v>0</v>
      </c>
    </row>
    <row r="17" spans="1:22" s="3" customFormat="1" x14ac:dyDescent="0.2">
      <c r="A17" s="28" t="s">
        <v>67</v>
      </c>
      <c r="B17" s="60">
        <f t="shared" si="0"/>
        <v>41146</v>
      </c>
      <c r="C17" s="58"/>
      <c r="D17" s="6" t="s">
        <v>65</v>
      </c>
      <c r="E17" s="2">
        <f t="shared" si="3"/>
        <v>41118</v>
      </c>
      <c r="F17" s="49"/>
      <c r="G17" s="5">
        <f t="shared" si="1"/>
        <v>0</v>
      </c>
      <c r="H17" s="5"/>
      <c r="I17" s="6" t="s">
        <v>71</v>
      </c>
      <c r="J17" s="2">
        <f t="shared" si="4"/>
        <v>41202</v>
      </c>
      <c r="K17" s="49"/>
      <c r="L17" s="5">
        <f t="shared" si="5"/>
        <v>0</v>
      </c>
      <c r="M17" s="5"/>
      <c r="N17" s="31" t="s">
        <v>78</v>
      </c>
      <c r="O17" s="2">
        <f t="shared" si="6"/>
        <v>41300</v>
      </c>
      <c r="P17" s="49"/>
      <c r="Q17" s="5">
        <f t="shared" si="2"/>
        <v>0</v>
      </c>
      <c r="R17" s="5"/>
      <c r="S17" s="30" t="s">
        <v>84</v>
      </c>
      <c r="T17" s="2">
        <f t="shared" si="7"/>
        <v>41384</v>
      </c>
      <c r="U17" s="49"/>
      <c r="V17" s="5">
        <f t="shared" si="8"/>
        <v>0</v>
      </c>
    </row>
    <row r="18" spans="1:22" s="3" customFormat="1" x14ac:dyDescent="0.2">
      <c r="A18" s="28" t="s">
        <v>68</v>
      </c>
      <c r="B18" s="60">
        <f t="shared" si="0"/>
        <v>41160</v>
      </c>
      <c r="C18" s="58"/>
      <c r="D18" s="6" t="s">
        <v>66</v>
      </c>
      <c r="E18" s="2">
        <f t="shared" si="3"/>
        <v>41132</v>
      </c>
      <c r="F18" s="49"/>
      <c r="G18" s="5">
        <f t="shared" si="1"/>
        <v>0</v>
      </c>
      <c r="H18" s="5"/>
      <c r="I18" s="6" t="s">
        <v>72</v>
      </c>
      <c r="J18" s="2">
        <f t="shared" si="4"/>
        <v>41216</v>
      </c>
      <c r="K18" s="49"/>
      <c r="L18" s="5">
        <f t="shared" si="5"/>
        <v>0</v>
      </c>
      <c r="M18" s="5"/>
      <c r="N18" s="30" t="s">
        <v>79</v>
      </c>
      <c r="O18" s="2">
        <f t="shared" si="6"/>
        <v>41314</v>
      </c>
      <c r="P18" s="49"/>
      <c r="Q18" s="5">
        <f t="shared" si="2"/>
        <v>0</v>
      </c>
      <c r="R18" s="5"/>
      <c r="S18" s="30" t="s">
        <v>85</v>
      </c>
      <c r="T18" s="2">
        <f t="shared" si="7"/>
        <v>41398</v>
      </c>
      <c r="U18" s="49"/>
      <c r="V18" s="5">
        <f t="shared" si="8"/>
        <v>0</v>
      </c>
    </row>
    <row r="19" spans="1:22" s="3" customFormat="1" x14ac:dyDescent="0.2">
      <c r="A19" s="28" t="s">
        <v>69</v>
      </c>
      <c r="B19" s="60">
        <f t="shared" si="0"/>
        <v>41174</v>
      </c>
      <c r="C19" s="58"/>
      <c r="D19" s="6" t="s">
        <v>67</v>
      </c>
      <c r="E19" s="2">
        <f t="shared" si="3"/>
        <v>41146</v>
      </c>
      <c r="F19" s="49"/>
      <c r="G19" s="5">
        <f t="shared" si="1"/>
        <v>0</v>
      </c>
      <c r="H19" s="5"/>
      <c r="I19" s="6" t="s">
        <v>73</v>
      </c>
      <c r="J19" s="2">
        <f t="shared" si="4"/>
        <v>41230</v>
      </c>
      <c r="K19" s="49"/>
      <c r="L19" s="5">
        <f t="shared" si="5"/>
        <v>0</v>
      </c>
      <c r="M19" s="5"/>
      <c r="N19" s="30" t="s">
        <v>80</v>
      </c>
      <c r="O19" s="2">
        <f t="shared" si="6"/>
        <v>41328</v>
      </c>
      <c r="P19" s="49"/>
      <c r="Q19" s="5">
        <f t="shared" si="2"/>
        <v>0</v>
      </c>
      <c r="R19" s="5"/>
      <c r="S19" s="31" t="s">
        <v>86</v>
      </c>
      <c r="T19" s="2">
        <f t="shared" si="7"/>
        <v>41412</v>
      </c>
      <c r="U19" s="49"/>
      <c r="V19" s="5">
        <f t="shared" si="8"/>
        <v>0</v>
      </c>
    </row>
    <row r="20" spans="1:22" s="3" customFormat="1" x14ac:dyDescent="0.2">
      <c r="A20" s="29" t="s">
        <v>70</v>
      </c>
      <c r="B20" s="60">
        <f t="shared" si="0"/>
        <v>41188</v>
      </c>
      <c r="C20" s="58"/>
      <c r="D20" s="6">
        <v>13</v>
      </c>
      <c r="E20" s="2">
        <f t="shared" si="3"/>
        <v>41160</v>
      </c>
      <c r="F20" s="49"/>
      <c r="G20" s="5">
        <f>C18/2</f>
        <v>0</v>
      </c>
      <c r="H20" s="5"/>
      <c r="I20" s="6" t="s">
        <v>74</v>
      </c>
      <c r="J20" s="2">
        <f t="shared" si="4"/>
        <v>41244</v>
      </c>
      <c r="K20" s="49"/>
      <c r="L20" s="5">
        <f t="shared" si="5"/>
        <v>0</v>
      </c>
      <c r="M20" s="5"/>
      <c r="N20" s="30">
        <v>39</v>
      </c>
      <c r="O20" s="2">
        <f t="shared" si="6"/>
        <v>41342</v>
      </c>
      <c r="P20" s="49"/>
      <c r="Q20" s="5">
        <f>C31/2</f>
        <v>0</v>
      </c>
      <c r="R20" s="5"/>
      <c r="S20" s="30" t="s">
        <v>87</v>
      </c>
      <c r="T20" s="2">
        <f t="shared" si="7"/>
        <v>41426</v>
      </c>
      <c r="U20" s="49"/>
      <c r="V20" s="5">
        <f t="shared" si="8"/>
        <v>0</v>
      </c>
    </row>
    <row r="21" spans="1:22" s="3" customFormat="1" x14ac:dyDescent="0.2">
      <c r="A21" s="28" t="s">
        <v>71</v>
      </c>
      <c r="B21" s="60">
        <f t="shared" si="0"/>
        <v>41202</v>
      </c>
      <c r="C21" s="58"/>
      <c r="F21" s="49"/>
      <c r="K21" s="49"/>
      <c r="P21" s="49"/>
      <c r="U21" s="49"/>
    </row>
    <row r="22" spans="1:22" s="3" customFormat="1" x14ac:dyDescent="0.2">
      <c r="A22" s="28" t="s">
        <v>72</v>
      </c>
      <c r="B22" s="60">
        <f t="shared" si="0"/>
        <v>41216</v>
      </c>
      <c r="C22" s="58"/>
      <c r="E22" s="6" t="s">
        <v>7</v>
      </c>
      <c r="F22" s="49"/>
      <c r="G22" s="5">
        <f>SUM(G14:G20)</f>
        <v>0</v>
      </c>
      <c r="H22" s="5"/>
      <c r="I22" s="5"/>
      <c r="J22" s="5"/>
      <c r="K22" s="49"/>
      <c r="L22" s="5">
        <f>SUM(L14:L20)</f>
        <v>0</v>
      </c>
      <c r="M22" s="5"/>
      <c r="N22" s="5"/>
      <c r="O22" s="5"/>
      <c r="P22" s="49"/>
      <c r="Q22" s="5">
        <f>SUM(Q14:Q20)</f>
        <v>0</v>
      </c>
      <c r="R22" s="5"/>
      <c r="S22" s="5"/>
      <c r="T22" s="5"/>
      <c r="U22" s="49"/>
      <c r="V22" s="5">
        <f>SUM(V14:V20)</f>
        <v>0</v>
      </c>
    </row>
    <row r="23" spans="1:22" s="3" customFormat="1" x14ac:dyDescent="0.2">
      <c r="A23" s="28" t="s">
        <v>73</v>
      </c>
      <c r="B23" s="60">
        <f t="shared" si="0"/>
        <v>41230</v>
      </c>
      <c r="C23" s="58"/>
      <c r="E23" s="6" t="s">
        <v>6</v>
      </c>
      <c r="F23" s="49"/>
      <c r="G23" s="5">
        <f>G22/13</f>
        <v>0</v>
      </c>
      <c r="H23" s="5"/>
      <c r="I23" s="5"/>
      <c r="J23" s="5"/>
      <c r="K23" s="49"/>
      <c r="L23" s="5">
        <f>L22/13</f>
        <v>0</v>
      </c>
      <c r="M23" s="5"/>
      <c r="N23" s="5"/>
      <c r="O23" s="5"/>
      <c r="P23" s="49"/>
      <c r="Q23" s="5">
        <f>Q22/13</f>
        <v>0</v>
      </c>
      <c r="R23" s="5"/>
      <c r="S23" s="5"/>
      <c r="T23" s="5"/>
      <c r="U23" s="49"/>
      <c r="V23" s="5">
        <f>V22/13</f>
        <v>0</v>
      </c>
    </row>
    <row r="24" spans="1:22" s="3" customFormat="1" x14ac:dyDescent="0.2">
      <c r="A24" s="29" t="s">
        <v>74</v>
      </c>
      <c r="B24" s="60">
        <f t="shared" si="0"/>
        <v>41244</v>
      </c>
      <c r="C24" s="58"/>
      <c r="F24" s="49"/>
      <c r="I24" s="77"/>
      <c r="J24" s="77"/>
      <c r="K24" s="96"/>
      <c r="L24" s="77"/>
      <c r="M24" s="77"/>
      <c r="N24" s="77"/>
      <c r="O24" s="77"/>
      <c r="P24" s="49"/>
      <c r="U24" s="49"/>
    </row>
    <row r="25" spans="1:22" s="3" customFormat="1" x14ac:dyDescent="0.2">
      <c r="A25" s="28" t="s">
        <v>75</v>
      </c>
      <c r="B25" s="60">
        <f t="shared" si="0"/>
        <v>41258</v>
      </c>
      <c r="C25" s="58"/>
      <c r="E25" s="6" t="s">
        <v>10</v>
      </c>
      <c r="F25" s="49"/>
      <c r="G25" s="5">
        <f>MIN(G23, L23, Q23, V23)</f>
        <v>0</v>
      </c>
      <c r="H25" s="5"/>
      <c r="I25" s="42"/>
      <c r="J25" s="42" t="b">
        <f>AND($C$10=2011,$G$27&gt;1286)</f>
        <v>0</v>
      </c>
      <c r="K25" s="91"/>
      <c r="L25" s="43">
        <f>J25*858</f>
        <v>0</v>
      </c>
      <c r="M25" s="42"/>
      <c r="N25" s="77"/>
      <c r="O25" s="42"/>
      <c r="P25" s="49"/>
      <c r="U25" s="49"/>
    </row>
    <row r="26" spans="1:22" s="3" customFormat="1" x14ac:dyDescent="0.2">
      <c r="A26" s="28" t="s">
        <v>76</v>
      </c>
      <c r="B26" s="60">
        <f t="shared" si="0"/>
        <v>41272</v>
      </c>
      <c r="C26" s="58"/>
      <c r="E26" s="6" t="s">
        <v>8</v>
      </c>
      <c r="F26" s="49"/>
      <c r="G26" s="5">
        <f>(G23+L23+Q23+V23)-G25</f>
        <v>0</v>
      </c>
      <c r="H26" s="5"/>
      <c r="I26" s="42"/>
      <c r="J26" s="42" t="b">
        <f>AND($C$10=2011,1286&gt;=$G$27,643.51&lt;=$G$27)</f>
        <v>0</v>
      </c>
      <c r="K26" s="91"/>
      <c r="L26" s="43">
        <f>J26*$G$27*(2/3)</f>
        <v>0</v>
      </c>
      <c r="M26" s="42"/>
      <c r="N26" s="77"/>
      <c r="O26" s="42"/>
      <c r="P26" s="49"/>
      <c r="U26" s="49"/>
    </row>
    <row r="27" spans="1:22" s="3" customFormat="1" x14ac:dyDescent="0.2">
      <c r="A27" s="28" t="s">
        <v>77</v>
      </c>
      <c r="B27" s="60">
        <f t="shared" si="0"/>
        <v>41286</v>
      </c>
      <c r="C27" s="58"/>
      <c r="E27" s="6" t="s">
        <v>9</v>
      </c>
      <c r="F27" s="38"/>
      <c r="G27" s="5">
        <f>(G26/3)+(C39/52)</f>
        <v>0</v>
      </c>
      <c r="H27" s="5"/>
      <c r="I27" s="42"/>
      <c r="J27" s="42" t="b">
        <f>AND($C$10=2011,643.5&gt;=$G$27,476.67&lt;=$G$27)</f>
        <v>0</v>
      </c>
      <c r="K27" s="83"/>
      <c r="L27" s="43">
        <f>J27*429</f>
        <v>0</v>
      </c>
      <c r="M27" s="42"/>
      <c r="N27" s="77"/>
      <c r="O27" s="42"/>
      <c r="P27" s="38"/>
      <c r="U27" s="38"/>
    </row>
    <row r="28" spans="1:22" s="3" customFormat="1" x14ac:dyDescent="0.2">
      <c r="A28" s="29" t="s">
        <v>78</v>
      </c>
      <c r="B28" s="60">
        <f t="shared" si="0"/>
        <v>41300</v>
      </c>
      <c r="C28" s="58"/>
      <c r="E28" s="32" t="s">
        <v>88</v>
      </c>
      <c r="F28" s="51"/>
      <c r="G28" s="5">
        <f>SUM(L25:L52)</f>
        <v>0</v>
      </c>
      <c r="I28" s="42"/>
      <c r="J28" s="42" t="b">
        <f>AND($C$10=2011,$G$27&lt;476.67)</f>
        <v>0</v>
      </c>
      <c r="K28" s="85"/>
      <c r="L28" s="43">
        <f>J28*$G$27*0.9</f>
        <v>0</v>
      </c>
      <c r="M28" s="42"/>
      <c r="N28" s="77"/>
      <c r="O28" s="42"/>
      <c r="P28" s="51"/>
      <c r="U28" s="51"/>
    </row>
    <row r="29" spans="1:22" s="3" customFormat="1" x14ac:dyDescent="0.2">
      <c r="A29" s="28" t="s">
        <v>79</v>
      </c>
      <c r="B29" s="60">
        <f t="shared" si="0"/>
        <v>41314</v>
      </c>
      <c r="C29" s="58"/>
      <c r="F29" s="51"/>
      <c r="H29" s="88"/>
      <c r="I29" s="42"/>
      <c r="J29" s="42" t="b">
        <f>AND($C$10=2010,$G$27&gt;1267.5)</f>
        <v>0</v>
      </c>
      <c r="K29" s="85"/>
      <c r="L29" s="43">
        <f>J29*845</f>
        <v>0</v>
      </c>
      <c r="M29" s="42"/>
      <c r="N29" s="77"/>
      <c r="O29" s="42"/>
      <c r="P29" s="51"/>
      <c r="U29" s="51"/>
    </row>
    <row r="30" spans="1:22" s="3" customFormat="1" x14ac:dyDescent="0.2">
      <c r="A30" s="28" t="s">
        <v>80</v>
      </c>
      <c r="B30" s="60">
        <f t="shared" si="0"/>
        <v>41328</v>
      </c>
      <c r="C30" s="58"/>
      <c r="F30" s="38"/>
      <c r="H30" s="88"/>
      <c r="I30" s="42"/>
      <c r="J30" s="42" t="b">
        <f>AND($C$10=2010,1267.5&gt;=$G$27,633.76&lt;=$G$27)</f>
        <v>0</v>
      </c>
      <c r="K30" s="83"/>
      <c r="L30" s="43">
        <f>J30*$G$27*(2/3)</f>
        <v>0</v>
      </c>
      <c r="M30" s="42"/>
      <c r="N30" s="77"/>
      <c r="O30" s="42"/>
      <c r="P30" s="38"/>
      <c r="U30" s="38"/>
    </row>
    <row r="31" spans="1:22" s="3" customFormat="1" x14ac:dyDescent="0.2">
      <c r="A31" s="28" t="s">
        <v>81</v>
      </c>
      <c r="B31" s="60">
        <f t="shared" si="0"/>
        <v>41342</v>
      </c>
      <c r="C31" s="58"/>
      <c r="F31" s="51"/>
      <c r="H31" s="88"/>
      <c r="I31" s="42"/>
      <c r="J31" s="42" t="b">
        <f>AND($C$10=2010,633.75&gt;=$G$27,469.44&lt;=$G$27)</f>
        <v>0</v>
      </c>
      <c r="K31" s="85"/>
      <c r="L31" s="43">
        <f>J31*422.5</f>
        <v>0</v>
      </c>
      <c r="M31" s="42"/>
      <c r="N31" s="77"/>
      <c r="O31" s="42"/>
      <c r="P31" s="51"/>
      <c r="U31" s="51"/>
    </row>
    <row r="32" spans="1:22" s="3" customFormat="1" x14ac:dyDescent="0.2">
      <c r="A32" s="29" t="s">
        <v>82</v>
      </c>
      <c r="B32" s="60">
        <f t="shared" si="0"/>
        <v>41356</v>
      </c>
      <c r="C32" s="58"/>
      <c r="F32" s="51"/>
      <c r="H32" s="88"/>
      <c r="I32" s="42"/>
      <c r="J32" s="42" t="b">
        <f>AND($C$10=2010,$G$27&lt;=469.43)</f>
        <v>0</v>
      </c>
      <c r="K32" s="85"/>
      <c r="L32" s="43">
        <f>J32*$G$27*0.9</f>
        <v>0</v>
      </c>
      <c r="M32" s="42"/>
      <c r="N32" s="77"/>
      <c r="O32" s="42"/>
      <c r="P32" s="51"/>
      <c r="U32" s="51"/>
    </row>
    <row r="33" spans="1:21" s="3" customFormat="1" x14ac:dyDescent="0.2">
      <c r="A33" s="28" t="s">
        <v>83</v>
      </c>
      <c r="B33" s="60">
        <f t="shared" si="0"/>
        <v>41370</v>
      </c>
      <c r="C33" s="58"/>
      <c r="F33" s="51"/>
      <c r="H33" s="88"/>
      <c r="I33" s="42"/>
      <c r="J33" s="42" t="b">
        <f>AND($C$10=2009,$G$27&gt;1254)</f>
        <v>0</v>
      </c>
      <c r="K33" s="85"/>
      <c r="L33" s="43">
        <f>J33*836</f>
        <v>0</v>
      </c>
      <c r="M33" s="42"/>
      <c r="N33" s="77"/>
      <c r="O33" s="42"/>
      <c r="P33" s="51"/>
      <c r="U33" s="51"/>
    </row>
    <row r="34" spans="1:21" s="3" customFormat="1" x14ac:dyDescent="0.2">
      <c r="A34" s="28" t="s">
        <v>84</v>
      </c>
      <c r="B34" s="60">
        <f t="shared" si="0"/>
        <v>41384</v>
      </c>
      <c r="C34" s="58"/>
      <c r="F34" s="51"/>
      <c r="H34" s="88"/>
      <c r="I34" s="42"/>
      <c r="J34" s="42" t="b">
        <f>AND($C$10=2009,1254&gt;=$G$27,627.01&lt;=$G$27)</f>
        <v>0</v>
      </c>
      <c r="K34" s="85"/>
      <c r="L34" s="43">
        <f>J34*$G$27*(2/3)</f>
        <v>0</v>
      </c>
      <c r="M34" s="42"/>
      <c r="N34" s="77"/>
      <c r="O34" s="42"/>
      <c r="P34" s="51"/>
      <c r="U34" s="51"/>
    </row>
    <row r="35" spans="1:21" s="3" customFormat="1" x14ac:dyDescent="0.2">
      <c r="A35" s="28" t="s">
        <v>85</v>
      </c>
      <c r="B35" s="60">
        <f t="shared" si="0"/>
        <v>41398</v>
      </c>
      <c r="C35" s="58"/>
      <c r="F35" s="38"/>
      <c r="H35" s="88"/>
      <c r="I35" s="42"/>
      <c r="J35" s="42" t="b">
        <f>AND($C$10=2009,627&gt;=$G$27,464.44&lt;=$G$27)</f>
        <v>0</v>
      </c>
      <c r="K35" s="83"/>
      <c r="L35" s="43">
        <f>J35*418</f>
        <v>0</v>
      </c>
      <c r="M35" s="42"/>
      <c r="N35" s="77"/>
      <c r="O35" s="42"/>
      <c r="P35" s="38"/>
      <c r="U35" s="38"/>
    </row>
    <row r="36" spans="1:21" s="3" customFormat="1" x14ac:dyDescent="0.2">
      <c r="A36" s="29" t="s">
        <v>86</v>
      </c>
      <c r="B36" s="60">
        <f>B37-14</f>
        <v>41412</v>
      </c>
      <c r="C36" s="58"/>
      <c r="F36" s="38"/>
      <c r="H36" s="88"/>
      <c r="I36" s="42"/>
      <c r="J36" s="42" t="b">
        <f>AND($C$10=2009,$G$27&lt;=464.43)</f>
        <v>0</v>
      </c>
      <c r="K36" s="83"/>
      <c r="L36" s="43">
        <f>J36*$G$27*0.9</f>
        <v>0</v>
      </c>
      <c r="M36" s="42"/>
      <c r="N36" s="77"/>
      <c r="O36" s="42"/>
      <c r="P36" s="38"/>
      <c r="U36" s="38"/>
    </row>
    <row r="37" spans="1:21" s="3" customFormat="1" x14ac:dyDescent="0.2">
      <c r="A37" s="28" t="s">
        <v>87</v>
      </c>
      <c r="B37" s="61">
        <v>41426</v>
      </c>
      <c r="C37" s="58"/>
      <c r="F37" s="38"/>
      <c r="H37" s="88"/>
      <c r="I37" s="42"/>
      <c r="J37" s="42" t="b">
        <f>AND($C$10=2008,$G$27&gt;1210.5)</f>
        <v>0</v>
      </c>
      <c r="K37" s="83"/>
      <c r="L37" s="43">
        <f>J37*807</f>
        <v>0</v>
      </c>
      <c r="M37" s="42"/>
      <c r="N37" s="77"/>
      <c r="O37" s="42"/>
      <c r="P37" s="38"/>
      <c r="U37" s="38"/>
    </row>
    <row r="38" spans="1:21" s="3" customFormat="1" x14ac:dyDescent="0.2">
      <c r="A38" s="28"/>
      <c r="B38" s="35"/>
      <c r="C38" s="41"/>
      <c r="F38" s="38"/>
      <c r="H38" s="88"/>
      <c r="I38" s="42"/>
      <c r="J38" s="42" t="b">
        <f>AND($C$10=2008,1210.5&gt;=$G$27,605.26&lt;=$G$27)</f>
        <v>0</v>
      </c>
      <c r="K38" s="83"/>
      <c r="L38" s="43">
        <f>J38*$G$27*(2/3)</f>
        <v>0</v>
      </c>
      <c r="M38" s="42"/>
      <c r="N38" s="77"/>
      <c r="O38" s="42"/>
      <c r="P38" s="38"/>
      <c r="U38" s="38"/>
    </row>
    <row r="39" spans="1:21" s="3" customFormat="1" x14ac:dyDescent="0.2">
      <c r="A39" s="28"/>
      <c r="B39" s="69" t="s">
        <v>13</v>
      </c>
      <c r="C39" s="58"/>
      <c r="F39" s="38"/>
      <c r="H39" s="88"/>
      <c r="I39" s="42"/>
      <c r="J39" s="42" t="b">
        <f>AND($C$10=2008,605.25&gt;=$G$27,448.33&lt;=$G$27)</f>
        <v>0</v>
      </c>
      <c r="K39" s="83"/>
      <c r="L39" s="43">
        <f>J39*403.5</f>
        <v>0</v>
      </c>
      <c r="M39" s="42"/>
      <c r="N39" s="77"/>
      <c r="O39" s="42"/>
      <c r="P39" s="38"/>
      <c r="U39" s="38"/>
    </row>
    <row r="40" spans="1:21" s="3" customFormat="1" x14ac:dyDescent="0.2">
      <c r="A40" s="28"/>
      <c r="B40" s="4"/>
      <c r="C40" s="7"/>
      <c r="F40" s="38"/>
      <c r="H40" s="88"/>
      <c r="I40" s="42"/>
      <c r="J40" s="42" t="b">
        <f>AND($C$10=2008,$G$27&lt;=448.32)</f>
        <v>0</v>
      </c>
      <c r="K40" s="83"/>
      <c r="L40" s="43">
        <f>J40*$G$27*0.9</f>
        <v>0</v>
      </c>
      <c r="M40" s="42"/>
      <c r="N40" s="77"/>
      <c r="O40" s="42"/>
      <c r="P40" s="38"/>
      <c r="U40" s="38"/>
    </row>
    <row r="41" spans="1:21" s="3" customFormat="1" x14ac:dyDescent="0.2">
      <c r="A41" s="28"/>
      <c r="B41" s="4"/>
      <c r="C41" s="7"/>
      <c r="F41" s="38"/>
      <c r="H41" s="88"/>
      <c r="I41" s="42"/>
      <c r="J41" s="39" t="b">
        <f>AND($C$10=2012,$G$27&gt;1332)</f>
        <v>0</v>
      </c>
      <c r="K41" s="83"/>
      <c r="L41" s="40">
        <f>J41*888</f>
        <v>0</v>
      </c>
      <c r="M41" s="42"/>
      <c r="N41" s="77"/>
      <c r="O41" s="42"/>
      <c r="P41" s="38"/>
      <c r="U41" s="38"/>
    </row>
    <row r="42" spans="1:21" s="3" customFormat="1" x14ac:dyDescent="0.2">
      <c r="A42" s="28"/>
      <c r="B42" s="4"/>
      <c r="C42" s="7"/>
      <c r="F42" s="38"/>
      <c r="H42" s="88"/>
      <c r="I42" s="42"/>
      <c r="J42" s="39" t="b">
        <f>AND($C$10=2012,1332&gt;=$G$27,666.01&lt;=$G$27)</f>
        <v>0</v>
      </c>
      <c r="K42" s="83"/>
      <c r="L42" s="40">
        <f>J42*$G$27*(2/3)</f>
        <v>0</v>
      </c>
      <c r="M42" s="42"/>
      <c r="N42" s="77"/>
      <c r="O42" s="42"/>
      <c r="P42" s="38"/>
      <c r="U42" s="38"/>
    </row>
    <row r="43" spans="1:21" s="3" customFormat="1" x14ac:dyDescent="0.2">
      <c r="A43" s="28"/>
      <c r="B43" s="4"/>
      <c r="C43" s="7"/>
      <c r="F43" s="38"/>
      <c r="H43" s="88"/>
      <c r="I43" s="42"/>
      <c r="J43" s="39" t="b">
        <f>AND($C$10=2012,666&gt;=$G$27,493.33&lt;=$G$27)</f>
        <v>0</v>
      </c>
      <c r="K43" s="83"/>
      <c r="L43" s="40">
        <f>J43*444</f>
        <v>0</v>
      </c>
      <c r="M43" s="42"/>
      <c r="N43" s="77"/>
      <c r="O43" s="42"/>
      <c r="P43" s="38"/>
      <c r="U43" s="38"/>
    </row>
    <row r="44" spans="1:21" s="3" customFormat="1" x14ac:dyDescent="0.2">
      <c r="A44" s="28"/>
      <c r="B44" s="4"/>
      <c r="C44" s="7"/>
      <c r="F44" s="38"/>
      <c r="H44" s="88"/>
      <c r="I44" s="42"/>
      <c r="J44" s="39" t="b">
        <f>AND($C$10=2012,$G$27&lt;493.33)</f>
        <v>0</v>
      </c>
      <c r="K44" s="83"/>
      <c r="L44" s="40">
        <f>J44*$G$27*0.9</f>
        <v>0</v>
      </c>
      <c r="M44" s="42"/>
      <c r="N44" s="77"/>
      <c r="O44" s="42"/>
      <c r="P44" s="38"/>
      <c r="U44" s="38"/>
    </row>
    <row r="45" spans="1:21" s="3" customFormat="1" x14ac:dyDescent="0.2">
      <c r="A45" s="28"/>
      <c r="B45" s="4"/>
      <c r="C45" s="7"/>
      <c r="F45" s="38"/>
      <c r="H45" s="88"/>
      <c r="I45" s="42"/>
      <c r="J45" s="39" t="b">
        <f>AND($C$10=2013,$G$27&gt;1375.5)</f>
        <v>0</v>
      </c>
      <c r="K45" s="83"/>
      <c r="L45" s="40">
        <f>J45*917</f>
        <v>0</v>
      </c>
      <c r="M45" s="42"/>
      <c r="N45" s="77"/>
      <c r="O45" s="42"/>
      <c r="P45" s="38"/>
      <c r="U45" s="38"/>
    </row>
    <row r="46" spans="1:21" s="3" customFormat="1" x14ac:dyDescent="0.2">
      <c r="A46" s="28"/>
      <c r="B46" s="4"/>
      <c r="C46" s="7"/>
      <c r="F46" s="38"/>
      <c r="H46" s="88"/>
      <c r="I46" s="42"/>
      <c r="J46" s="39" t="b">
        <f>AND($C$10=2013,1375.5&gt;=$G$27,687.76&lt;=$G$27)</f>
        <v>0</v>
      </c>
      <c r="K46" s="83"/>
      <c r="L46" s="40">
        <f>J46*$G$33*(2/3)</f>
        <v>0</v>
      </c>
      <c r="M46" s="42"/>
      <c r="N46" s="77"/>
      <c r="O46" s="42"/>
      <c r="P46" s="38"/>
      <c r="U46" s="38"/>
    </row>
    <row r="47" spans="1:21" s="3" customFormat="1" x14ac:dyDescent="0.2">
      <c r="A47" s="28"/>
      <c r="B47" s="4"/>
      <c r="C47" s="7"/>
      <c r="F47" s="38"/>
      <c r="H47" s="88"/>
      <c r="I47" s="42"/>
      <c r="J47" s="39" t="b">
        <f>AND($C$10=2013,687.75&gt;=$G$27,509.44&lt;=$G$27)</f>
        <v>0</v>
      </c>
      <c r="K47" s="83"/>
      <c r="L47" s="40">
        <f>J47*458.5</f>
        <v>0</v>
      </c>
      <c r="M47" s="42"/>
      <c r="N47" s="77"/>
      <c r="O47" s="42"/>
      <c r="P47" s="38"/>
      <c r="U47" s="38"/>
    </row>
    <row r="48" spans="1:21" s="3" customFormat="1" x14ac:dyDescent="0.2">
      <c r="A48" s="28"/>
      <c r="B48" s="4"/>
      <c r="C48" s="7"/>
      <c r="F48" s="38"/>
      <c r="H48" s="88"/>
      <c r="I48" s="42"/>
      <c r="J48" s="39" t="b">
        <f>AND($C$10=2013,$G$27&lt;509.43)</f>
        <v>0</v>
      </c>
      <c r="K48" s="83"/>
      <c r="L48" s="40">
        <f>J48*$G$33*0.9</f>
        <v>0</v>
      </c>
      <c r="M48" s="42"/>
      <c r="N48" s="77"/>
      <c r="O48" s="42"/>
      <c r="P48" s="38"/>
      <c r="U48" s="38"/>
    </row>
    <row r="49" spans="1:24" s="3" customFormat="1" x14ac:dyDescent="0.2">
      <c r="A49" s="28"/>
      <c r="B49" s="4"/>
      <c r="C49" s="7"/>
      <c r="F49" s="38"/>
      <c r="H49" s="88"/>
      <c r="I49" s="42"/>
      <c r="J49" s="39" t="b">
        <f>AND($C$10=2014,$G$27&gt;1398)</f>
        <v>0</v>
      </c>
      <c r="K49" s="83"/>
      <c r="L49" s="40">
        <f>J49*932</f>
        <v>0</v>
      </c>
      <c r="M49" s="42"/>
      <c r="N49" s="77"/>
      <c r="O49" s="42"/>
      <c r="P49" s="38"/>
      <c r="U49" s="38"/>
    </row>
    <row r="50" spans="1:24" s="3" customFormat="1" x14ac:dyDescent="0.2">
      <c r="A50" s="28"/>
      <c r="B50" s="4"/>
      <c r="C50" s="7"/>
      <c r="F50" s="38"/>
      <c r="H50" s="88"/>
      <c r="I50" s="88"/>
      <c r="J50" s="39" t="b">
        <f>AND($C$10=2014,1398&gt;=$G$27,699.01&lt;=$G$27)</f>
        <v>0</v>
      </c>
      <c r="K50" s="83"/>
      <c r="L50" s="40">
        <f>J50*$G$27*(2/3)</f>
        <v>0</v>
      </c>
      <c r="M50" s="42"/>
      <c r="N50" s="77"/>
      <c r="O50" s="77"/>
      <c r="P50" s="38"/>
      <c r="U50" s="38"/>
    </row>
    <row r="51" spans="1:24" s="3" customFormat="1" x14ac:dyDescent="0.2">
      <c r="A51" s="28"/>
      <c r="B51" s="4"/>
      <c r="C51" s="7"/>
      <c r="F51" s="38"/>
      <c r="H51" s="88"/>
      <c r="I51" s="88"/>
      <c r="J51" s="39" t="b">
        <f>AND($C$10=2014,699&gt;=$G$27,517.78&lt;=$G$27)</f>
        <v>0</v>
      </c>
      <c r="K51" s="83"/>
      <c r="L51" s="40">
        <f>J51*466</f>
        <v>0</v>
      </c>
      <c r="M51" s="42"/>
      <c r="N51" s="77"/>
      <c r="P51" s="38"/>
      <c r="U51" s="38"/>
    </row>
    <row r="52" spans="1:24" s="3" customFormat="1" x14ac:dyDescent="0.2">
      <c r="A52" s="28"/>
      <c r="B52" s="4"/>
      <c r="C52" s="7"/>
      <c r="F52" s="38"/>
      <c r="H52" s="88"/>
      <c r="I52" s="88"/>
      <c r="J52" s="39" t="b">
        <f>AND($C$10=2014,$G$27&lt;517.78)</f>
        <v>0</v>
      </c>
      <c r="K52" s="83"/>
      <c r="L52" s="40">
        <f>J52*$G$27*0.9</f>
        <v>0</v>
      </c>
      <c r="M52" s="42"/>
      <c r="N52" s="77"/>
      <c r="P52" s="38"/>
      <c r="U52" s="38"/>
    </row>
    <row r="53" spans="1:24" s="3" customFormat="1" x14ac:dyDescent="0.2">
      <c r="A53" s="28"/>
      <c r="B53" s="4"/>
      <c r="C53" s="7"/>
      <c r="F53" s="38"/>
      <c r="H53" s="88"/>
      <c r="I53" s="88"/>
      <c r="J53" s="42"/>
      <c r="K53" s="83"/>
      <c r="L53" s="42"/>
      <c r="M53" s="42"/>
      <c r="N53" s="77"/>
      <c r="P53" s="38"/>
      <c r="U53" s="38"/>
    </row>
    <row r="54" spans="1:24" s="3" customFormat="1" x14ac:dyDescent="0.2">
      <c r="A54" s="28"/>
      <c r="B54" s="4"/>
      <c r="C54" s="7"/>
      <c r="F54" s="38"/>
      <c r="H54" s="88"/>
      <c r="I54" s="88"/>
      <c r="J54" s="88"/>
      <c r="K54" s="87"/>
      <c r="L54" s="88"/>
      <c r="M54" s="88"/>
      <c r="N54" s="88"/>
      <c r="P54" s="38"/>
      <c r="U54" s="38"/>
    </row>
    <row r="55" spans="1:24" s="3" customFormat="1" x14ac:dyDescent="0.2">
      <c r="A55" s="28"/>
      <c r="B55" s="4"/>
      <c r="C55" s="7"/>
      <c r="F55" s="38"/>
      <c r="H55" s="88"/>
      <c r="I55" s="88"/>
      <c r="J55" s="88"/>
      <c r="K55" s="87"/>
      <c r="L55" s="88"/>
      <c r="M55" s="88"/>
      <c r="N55" s="88"/>
      <c r="P55" s="38"/>
      <c r="U55" s="38"/>
    </row>
    <row r="56" spans="1:24" s="3" customFormat="1" x14ac:dyDescent="0.2">
      <c r="A56" s="28"/>
      <c r="B56" s="4"/>
      <c r="C56" s="7"/>
      <c r="F56" s="38"/>
      <c r="H56" s="88"/>
      <c r="I56" s="88"/>
      <c r="J56" s="88"/>
      <c r="K56" s="87"/>
      <c r="L56" s="88"/>
      <c r="M56" s="88"/>
      <c r="N56" s="88"/>
      <c r="P56" s="38"/>
      <c r="U56" s="38"/>
    </row>
    <row r="57" spans="1:24" s="3" customFormat="1" x14ac:dyDescent="0.2">
      <c r="A57" s="28"/>
      <c r="B57" s="4"/>
      <c r="C57" s="7"/>
      <c r="F57" s="38"/>
      <c r="H57" s="88"/>
      <c r="I57" s="88"/>
      <c r="J57" s="88"/>
      <c r="K57" s="87"/>
      <c r="L57" s="88"/>
      <c r="M57" s="88"/>
      <c r="N57" s="88"/>
      <c r="P57" s="38"/>
      <c r="U57" s="38"/>
    </row>
    <row r="58" spans="1:24" s="3" customFormat="1" x14ac:dyDescent="0.2">
      <c r="A58" s="28"/>
      <c r="B58" s="4"/>
      <c r="C58" s="7"/>
      <c r="F58" s="38"/>
      <c r="H58" s="88"/>
      <c r="I58" s="88"/>
      <c r="J58" s="88"/>
      <c r="K58" s="87"/>
      <c r="L58" s="88"/>
      <c r="M58" s="88"/>
      <c r="N58" s="88"/>
      <c r="P58" s="38"/>
      <c r="U58" s="38"/>
    </row>
    <row r="59" spans="1:24" s="3" customFormat="1" x14ac:dyDescent="0.2">
      <c r="A59" s="28"/>
      <c r="B59" s="4"/>
      <c r="C59" s="7"/>
      <c r="D59"/>
      <c r="E59"/>
      <c r="F59" s="38"/>
      <c r="G59"/>
      <c r="H59" s="89"/>
      <c r="I59" s="89"/>
      <c r="J59" s="89"/>
      <c r="K59" s="87"/>
      <c r="L59" s="89"/>
      <c r="M59" s="89"/>
      <c r="N59" s="89"/>
      <c r="O59"/>
      <c r="P59" s="38"/>
      <c r="Q59"/>
      <c r="R59"/>
      <c r="S59"/>
      <c r="T59"/>
      <c r="U59" s="38"/>
      <c r="V59"/>
    </row>
    <row r="60" spans="1:24" s="3" customFormat="1" x14ac:dyDescent="0.2">
      <c r="A60" s="28"/>
      <c r="B60" s="4"/>
      <c r="C60" s="7"/>
      <c r="D60"/>
      <c r="E60"/>
      <c r="F60" s="38"/>
      <c r="G60"/>
      <c r="H60"/>
      <c r="I60"/>
      <c r="J60"/>
      <c r="K60" s="38"/>
      <c r="L60"/>
      <c r="M60"/>
      <c r="N60"/>
      <c r="O60"/>
      <c r="P60" s="38"/>
      <c r="Q60"/>
      <c r="R60"/>
      <c r="S60"/>
      <c r="T60"/>
      <c r="U60" s="38"/>
      <c r="V60"/>
    </row>
    <row r="61" spans="1:24" s="3" customFormat="1" x14ac:dyDescent="0.2">
      <c r="A61" s="28"/>
      <c r="B61" s="4"/>
      <c r="C61" s="7"/>
      <c r="D61"/>
      <c r="E61"/>
      <c r="F61" s="38"/>
      <c r="G61"/>
      <c r="H61"/>
      <c r="I61"/>
      <c r="J61"/>
      <c r="K61" s="38"/>
      <c r="L61"/>
      <c r="M61"/>
      <c r="N61"/>
      <c r="O61"/>
      <c r="P61" s="38"/>
      <c r="Q61"/>
      <c r="R61"/>
      <c r="S61"/>
      <c r="T61"/>
      <c r="U61" s="38"/>
      <c r="V61"/>
    </row>
    <row r="62" spans="1:24" s="3" customFormat="1" x14ac:dyDescent="0.2">
      <c r="A62" s="28"/>
      <c r="B62" s="4"/>
      <c r="C62" s="7"/>
      <c r="D62"/>
      <c r="E62"/>
      <c r="F62" s="38"/>
      <c r="G62"/>
      <c r="H62"/>
      <c r="I62"/>
      <c r="J62"/>
      <c r="K62" s="38"/>
      <c r="L62"/>
      <c r="M62"/>
      <c r="N62"/>
      <c r="O62"/>
      <c r="P62" s="38"/>
      <c r="Q62"/>
      <c r="R62"/>
      <c r="S62"/>
      <c r="T62"/>
      <c r="U62" s="38"/>
      <c r="V62"/>
    </row>
    <row r="63" spans="1:24" s="3" customFormat="1" x14ac:dyDescent="0.2">
      <c r="A63" s="28"/>
      <c r="B63" s="4"/>
      <c r="C63" s="7"/>
      <c r="D63"/>
      <c r="E63"/>
      <c r="F63" s="38"/>
      <c r="G63"/>
      <c r="H63"/>
      <c r="I63"/>
      <c r="J63"/>
      <c r="K63" s="38"/>
      <c r="L63"/>
      <c r="M63"/>
      <c r="N63"/>
      <c r="O63"/>
      <c r="P63" s="38"/>
      <c r="Q63"/>
      <c r="R63"/>
      <c r="S63"/>
      <c r="T63"/>
      <c r="U63" s="38"/>
      <c r="V63"/>
    </row>
    <row r="64" spans="1:24" x14ac:dyDescent="0.2">
      <c r="B64" s="1"/>
      <c r="C64" s="1"/>
      <c r="F64" s="38"/>
      <c r="K64" s="38"/>
      <c r="P64" s="38"/>
      <c r="U64" s="38"/>
      <c r="W64" s="3"/>
      <c r="X64" s="3"/>
    </row>
    <row r="65" spans="2:21" x14ac:dyDescent="0.2">
      <c r="B65" s="1"/>
      <c r="C65" s="1"/>
      <c r="F65" s="38"/>
      <c r="K65" s="38"/>
      <c r="P65" s="38"/>
      <c r="U65" s="38"/>
    </row>
    <row r="66" spans="2:21" x14ac:dyDescent="0.2">
      <c r="B66" s="1"/>
      <c r="C66" s="1"/>
      <c r="F66" s="38"/>
      <c r="K66" s="38"/>
      <c r="P66" s="38"/>
      <c r="U66" s="38"/>
    </row>
    <row r="67" spans="2:21" x14ac:dyDescent="0.2">
      <c r="B67" s="1"/>
      <c r="C67" s="1"/>
      <c r="F67" s="38"/>
      <c r="K67" s="38"/>
      <c r="P67" s="38"/>
      <c r="U67" s="38"/>
    </row>
    <row r="68" spans="2:21" x14ac:dyDescent="0.2">
      <c r="B68" s="1"/>
      <c r="C68" s="1"/>
    </row>
    <row r="69" spans="2:21" x14ac:dyDescent="0.2">
      <c r="B69" s="1"/>
      <c r="C69" s="1"/>
    </row>
    <row r="70" spans="2:21" x14ac:dyDescent="0.2">
      <c r="B70" s="1"/>
      <c r="C70" s="1"/>
    </row>
    <row r="71" spans="2:21" x14ac:dyDescent="0.2">
      <c r="B71" s="1"/>
      <c r="C71" s="1"/>
    </row>
    <row r="72" spans="2:21" x14ac:dyDescent="0.2">
      <c r="B72" s="1"/>
      <c r="C72" s="1"/>
    </row>
    <row r="73" spans="2:21" x14ac:dyDescent="0.2">
      <c r="B73" s="1"/>
      <c r="C73" s="1"/>
    </row>
    <row r="74" spans="2:21" x14ac:dyDescent="0.2">
      <c r="B74" s="1"/>
      <c r="C74" s="1"/>
    </row>
    <row r="75" spans="2:21" x14ac:dyDescent="0.2">
      <c r="B75" s="1"/>
      <c r="C75" s="1"/>
    </row>
  </sheetData>
  <sheetProtection sheet="1" objects="1" scenarios="1"/>
  <mergeCells count="1">
    <mergeCell ref="A3:I3"/>
  </mergeCells>
  <phoneticPr fontId="1" type="noConversion"/>
  <pageMargins left="0.75" right="0.75" top="1" bottom="1" header="0.5" footer="0.5"/>
  <pageSetup scale="7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
  <sheetViews>
    <sheetView workbookViewId="0">
      <selection activeCell="C21" sqref="C21"/>
    </sheetView>
  </sheetViews>
  <sheetFormatPr defaultRowHeight="12.75" x14ac:dyDescent="0.2"/>
  <cols>
    <col min="1" max="1" width="10" style="26" customWidth="1"/>
    <col min="2" max="7" width="20.28515625" style="26" customWidth="1"/>
    <col min="8" max="16384" width="9.140625" style="26"/>
  </cols>
  <sheetData>
    <row r="1" spans="1:7" ht="18" x14ac:dyDescent="0.25">
      <c r="A1" s="44" t="s">
        <v>92</v>
      </c>
    </row>
    <row r="3" spans="1:7" s="10" customFormat="1" x14ac:dyDescent="0.2">
      <c r="A3" s="8"/>
      <c r="B3" s="9">
        <v>2014</v>
      </c>
      <c r="C3" s="9">
        <v>2013</v>
      </c>
      <c r="D3" s="9">
        <v>2012</v>
      </c>
      <c r="E3" s="9">
        <v>2011</v>
      </c>
      <c r="F3" s="9">
        <v>2010</v>
      </c>
      <c r="G3" s="9">
        <v>2009</v>
      </c>
    </row>
    <row r="4" spans="1:7" s="10" customFormat="1" x14ac:dyDescent="0.2">
      <c r="A4" s="8" t="s">
        <v>14</v>
      </c>
      <c r="B4" s="11">
        <v>932</v>
      </c>
      <c r="C4" s="11">
        <v>917</v>
      </c>
      <c r="D4" s="11">
        <v>888</v>
      </c>
      <c r="E4" s="11">
        <v>858</v>
      </c>
      <c r="F4" s="11">
        <v>845</v>
      </c>
      <c r="G4" s="11">
        <v>836</v>
      </c>
    </row>
    <row r="5" spans="1:7" s="10" customFormat="1" x14ac:dyDescent="0.2">
      <c r="A5" s="12">
        <v>0.66666666666666674</v>
      </c>
      <c r="B5" s="8" t="s">
        <v>110</v>
      </c>
      <c r="C5" s="8" t="s">
        <v>106</v>
      </c>
      <c r="D5" s="8" t="s">
        <v>101</v>
      </c>
      <c r="E5" s="8" t="s">
        <v>15</v>
      </c>
      <c r="F5" s="8" t="s">
        <v>16</v>
      </c>
      <c r="G5" s="8" t="s">
        <v>17</v>
      </c>
    </row>
    <row r="6" spans="1:7" s="10" customFormat="1" ht="25.5" x14ac:dyDescent="0.2">
      <c r="A6" s="8"/>
      <c r="B6" s="13" t="s">
        <v>111</v>
      </c>
      <c r="C6" s="13" t="s">
        <v>107</v>
      </c>
      <c r="D6" s="13" t="s">
        <v>102</v>
      </c>
      <c r="E6" s="13" t="s">
        <v>45</v>
      </c>
      <c r="F6" s="13" t="s">
        <v>46</v>
      </c>
      <c r="G6" s="13" t="s">
        <v>47</v>
      </c>
    </row>
    <row r="7" spans="1:7" s="10" customFormat="1" x14ac:dyDescent="0.2">
      <c r="A7" s="15">
        <v>0.9</v>
      </c>
      <c r="B7" s="16" t="s">
        <v>112</v>
      </c>
      <c r="C7" s="16" t="s">
        <v>108</v>
      </c>
      <c r="D7" s="16" t="s">
        <v>103</v>
      </c>
      <c r="E7" s="16" t="s">
        <v>21</v>
      </c>
      <c r="F7" s="16" t="s">
        <v>22</v>
      </c>
      <c r="G7" s="16" t="s">
        <v>23</v>
      </c>
    </row>
    <row r="8" spans="1:7" s="10" customFormat="1" x14ac:dyDescent="0.2">
      <c r="A8" s="17"/>
      <c r="B8" s="18"/>
      <c r="C8" s="18"/>
      <c r="D8" s="18"/>
      <c r="E8" s="18"/>
      <c r="F8" s="18"/>
      <c r="G8" s="19"/>
    </row>
    <row r="9" spans="1:7" s="10" customFormat="1" x14ac:dyDescent="0.2">
      <c r="A9" s="20"/>
      <c r="B9" s="21"/>
      <c r="C9" s="21"/>
      <c r="D9" s="21"/>
      <c r="E9" s="21"/>
      <c r="F9" s="21"/>
      <c r="G9" s="22"/>
    </row>
    <row r="10" spans="1:7" s="10" customFormat="1" x14ac:dyDescent="0.2">
      <c r="A10" s="23"/>
      <c r="B10" s="9">
        <v>2008</v>
      </c>
      <c r="C10" s="9">
        <v>2007</v>
      </c>
      <c r="D10" s="9">
        <v>2006</v>
      </c>
      <c r="E10" s="24">
        <v>2005</v>
      </c>
      <c r="F10" s="24">
        <v>2004</v>
      </c>
      <c r="G10" s="24">
        <v>2003</v>
      </c>
    </row>
    <row r="11" spans="1:7" s="10" customFormat="1" x14ac:dyDescent="0.2">
      <c r="A11" s="8" t="s">
        <v>14</v>
      </c>
      <c r="B11" s="11">
        <v>807</v>
      </c>
      <c r="C11" s="11">
        <v>779</v>
      </c>
      <c r="D11" s="11">
        <v>745</v>
      </c>
      <c r="E11" s="11">
        <v>716</v>
      </c>
      <c r="F11" s="11">
        <v>690</v>
      </c>
      <c r="G11" s="11">
        <v>675</v>
      </c>
    </row>
    <row r="12" spans="1:7" s="10" customFormat="1" x14ac:dyDescent="0.2">
      <c r="A12" s="12">
        <v>0.66666666666666674</v>
      </c>
      <c r="B12" s="8" t="s">
        <v>18</v>
      </c>
      <c r="C12" s="8" t="s">
        <v>19</v>
      </c>
      <c r="D12" s="8" t="s">
        <v>20</v>
      </c>
      <c r="E12" s="8" t="s">
        <v>27</v>
      </c>
      <c r="F12" s="8" t="s">
        <v>28</v>
      </c>
      <c r="G12" s="8" t="s">
        <v>29</v>
      </c>
    </row>
    <row r="13" spans="1:7" s="10" customFormat="1" ht="25.5" x14ac:dyDescent="0.2">
      <c r="A13" s="8"/>
      <c r="B13" s="14" t="s">
        <v>48</v>
      </c>
      <c r="C13" s="14" t="s">
        <v>49</v>
      </c>
      <c r="D13" s="14" t="s">
        <v>50</v>
      </c>
      <c r="E13" s="14" t="s">
        <v>51</v>
      </c>
      <c r="F13" s="14" t="s">
        <v>52</v>
      </c>
      <c r="G13" s="14" t="s">
        <v>53</v>
      </c>
    </row>
    <row r="14" spans="1:7" s="10" customFormat="1" x14ac:dyDescent="0.2">
      <c r="A14" s="15">
        <v>0.9</v>
      </c>
      <c r="B14" s="16" t="s">
        <v>24</v>
      </c>
      <c r="C14" s="16" t="s">
        <v>25</v>
      </c>
      <c r="D14" s="16" t="s">
        <v>26</v>
      </c>
      <c r="E14" s="16" t="s">
        <v>33</v>
      </c>
      <c r="F14" s="16" t="s">
        <v>34</v>
      </c>
      <c r="G14" s="16" t="s">
        <v>35</v>
      </c>
    </row>
    <row r="15" spans="1:7" s="10" customFormat="1" x14ac:dyDescent="0.2">
      <c r="A15" s="17"/>
      <c r="B15" s="18"/>
      <c r="C15" s="18"/>
      <c r="D15" s="18"/>
      <c r="E15" s="18"/>
      <c r="F15" s="18"/>
      <c r="G15" s="19"/>
    </row>
    <row r="16" spans="1:7" s="10" customFormat="1" x14ac:dyDescent="0.2">
      <c r="A16" s="20"/>
      <c r="B16" s="21"/>
      <c r="C16" s="21"/>
      <c r="D16" s="21"/>
      <c r="E16" s="21"/>
      <c r="F16" s="21"/>
      <c r="G16" s="22"/>
    </row>
    <row r="17" spans="1:7" s="10" customFormat="1" x14ac:dyDescent="0.2">
      <c r="A17" s="23"/>
      <c r="B17" s="24">
        <v>2002</v>
      </c>
      <c r="C17" s="24">
        <v>2001</v>
      </c>
      <c r="D17" s="24">
        <v>2000</v>
      </c>
      <c r="E17" s="24">
        <v>1999</v>
      </c>
      <c r="F17" s="24">
        <v>1998</v>
      </c>
      <c r="G17" s="24">
        <v>1997</v>
      </c>
    </row>
    <row r="18" spans="1:7" s="10" customFormat="1" x14ac:dyDescent="0.2">
      <c r="A18" s="8" t="s">
        <v>14</v>
      </c>
      <c r="B18" s="11">
        <v>662</v>
      </c>
      <c r="C18" s="11">
        <v>644</v>
      </c>
      <c r="D18" s="11">
        <v>611</v>
      </c>
      <c r="E18" s="11">
        <v>588</v>
      </c>
      <c r="F18" s="11">
        <v>561</v>
      </c>
      <c r="G18" s="11">
        <v>542</v>
      </c>
    </row>
    <row r="19" spans="1:7" s="10" customFormat="1" x14ac:dyDescent="0.2">
      <c r="A19" s="12">
        <v>0.66666666666666674</v>
      </c>
      <c r="B19" s="8" t="s">
        <v>30</v>
      </c>
      <c r="C19" s="8" t="s">
        <v>31</v>
      </c>
      <c r="D19" s="8" t="s">
        <v>32</v>
      </c>
      <c r="E19" s="8" t="s">
        <v>39</v>
      </c>
      <c r="F19" s="8" t="s">
        <v>40</v>
      </c>
      <c r="G19" s="8" t="s">
        <v>41</v>
      </c>
    </row>
    <row r="20" spans="1:7" s="10" customFormat="1" ht="25.5" x14ac:dyDescent="0.2">
      <c r="A20" s="8"/>
      <c r="B20" s="13" t="s">
        <v>54</v>
      </c>
      <c r="C20" s="13" t="s">
        <v>55</v>
      </c>
      <c r="D20" s="14" t="s">
        <v>56</v>
      </c>
      <c r="E20" s="14" t="s">
        <v>57</v>
      </c>
      <c r="F20" s="14" t="s">
        <v>58</v>
      </c>
      <c r="G20" s="14" t="s">
        <v>59</v>
      </c>
    </row>
    <row r="21" spans="1:7" s="10" customFormat="1" x14ac:dyDescent="0.2">
      <c r="A21" s="25">
        <v>0.9</v>
      </c>
      <c r="B21" s="16" t="s">
        <v>36</v>
      </c>
      <c r="C21" s="16" t="s">
        <v>37</v>
      </c>
      <c r="D21" s="16" t="s">
        <v>38</v>
      </c>
      <c r="E21" s="8" t="s">
        <v>42</v>
      </c>
      <c r="F21" s="8" t="s">
        <v>43</v>
      </c>
      <c r="G21" s="8" t="s">
        <v>44</v>
      </c>
    </row>
  </sheetData>
  <sheetProtection sheet="1" objects="1" scenarios="1"/>
  <phoneticPr fontId="1" type="noConversion"/>
  <pageMargins left="0.75" right="0.75" top="1" bottom="1" header="0.5" footer="0.5"/>
  <pageSetup scale="9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Weekly Pay</vt:lpstr>
      <vt:lpstr>Bi-Weekly Pay</vt:lpstr>
      <vt:lpstr>PA Rates</vt:lpstr>
    </vt:vector>
  </TitlesOfParts>
  <Company>The Hartford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em72407</dc:creator>
  <cp:lastModifiedBy>SedgwickUser</cp:lastModifiedBy>
  <cp:lastPrinted>2012-03-20T16:02:16Z</cp:lastPrinted>
  <dcterms:created xsi:type="dcterms:W3CDTF">2011-03-15T21:43:08Z</dcterms:created>
  <dcterms:modified xsi:type="dcterms:W3CDTF">2014-01-02T12:31:23Z</dcterms:modified>
</cp:coreProperties>
</file>